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7EE7378A-B09E-4E13-BBBB-C3452219CB0A}" xr6:coauthVersionLast="47" xr6:coauthVersionMax="47" xr10:uidLastSave="{00000000-0000-0000-0000-000000000000}"/>
  <bookViews>
    <workbookView xWindow="-120" yWindow="-120" windowWidth="29040" windowHeight="15840" tabRatio="888" xr2:uid="{00000000-000D-0000-FFFF-FFFF00000000}"/>
  </bookViews>
  <sheets>
    <sheet name="Inventory" sheetId="18" r:id="rId1"/>
    <sheet name="Log" sheetId="19" r:id="rId2"/>
    <sheet name="VFA (10F) (6 ARS)" sheetId="31" r:id="rId3"/>
    <sheet name="VFA (10F) (4 ARS)" sheetId="47" r:id="rId4"/>
    <sheet name="VFA (10F) (No ARS)" sheetId="48" r:id="rId5"/>
    <sheet name="VFA (11F) (6 ARS)" sheetId="32" r:id="rId6"/>
    <sheet name="VFA (11F) (5 ARS)" sheetId="34" r:id="rId7"/>
    <sheet name="VFA (11F) (4 ARS)" sheetId="49" r:id="rId8"/>
    <sheet name="VFA (12F) (6 ARS)" sheetId="36" r:id="rId9"/>
    <sheet name="VFA (12F) (No ARS) FDNF" sheetId="52" r:id="rId10"/>
    <sheet name="VFA (12F) (4 ARS) FDNF" sheetId="51" r:id="rId11"/>
    <sheet name="VFA (12F) (6 ARS) FDNF" sheetId="37" r:id="rId12"/>
    <sheet name="VFA (FA-18E-F VFA-106 FRS)" sheetId="56" r:id="rId13"/>
    <sheet name="VFA (FA-18E-F VFA-122 FRS)" sheetId="58" r:id="rId14"/>
    <sheet name="VFA FA-18EF PDAA_POAA" sheetId="60" r:id="rId15"/>
    <sheet name="VFA FA-18F Reduced Matrix" sheetId="57" r:id="rId16"/>
    <sheet name="FA-18EF Mission System Summary" sheetId="5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8" l="1"/>
  <c r="C25" i="58"/>
  <c r="C26" i="58"/>
  <c r="C27" i="58"/>
  <c r="B23" i="58"/>
  <c r="B24" i="58"/>
  <c r="B25" i="58"/>
  <c r="B26" i="58"/>
  <c r="C18" i="58"/>
  <c r="C20" i="58" s="1"/>
  <c r="B18" i="58"/>
  <c r="B27" i="58" s="1"/>
  <c r="B21" i="58" l="1"/>
  <c r="C22" i="58"/>
  <c r="B22" i="58"/>
  <c r="C23" i="58"/>
  <c r="B28" i="58"/>
  <c r="B20" i="58"/>
  <c r="C21" i="58"/>
  <c r="C28" i="58"/>
  <c r="E19" i="60"/>
  <c r="E21" i="60" s="1"/>
  <c r="D19" i="60"/>
  <c r="D20" i="60" s="1"/>
  <c r="D14" i="18"/>
  <c r="E14" i="18" s="1"/>
  <c r="C14" i="18"/>
  <c r="A14" i="18"/>
  <c r="B19" i="60"/>
  <c r="B21" i="60" s="1"/>
  <c r="C19" i="60"/>
  <c r="C20" i="60" s="1"/>
  <c r="F19" i="60"/>
  <c r="F20" i="60" s="1"/>
  <c r="G19" i="60"/>
  <c r="G20" i="60" s="1"/>
  <c r="B18" i="56"/>
  <c r="C18" i="56"/>
  <c r="D21" i="60" l="1"/>
  <c r="C24" i="56"/>
  <c r="C25" i="56"/>
  <c r="C26" i="56"/>
  <c r="C27" i="56"/>
  <c r="C20" i="56"/>
  <c r="C28" i="56"/>
  <c r="C21" i="56"/>
  <c r="C23" i="56"/>
  <c r="C22" i="56"/>
  <c r="B23" i="56"/>
  <c r="B24" i="56"/>
  <c r="B25" i="56"/>
  <c r="B27" i="56"/>
  <c r="B20" i="56"/>
  <c r="B26" i="56"/>
  <c r="B28" i="56"/>
  <c r="B21" i="56"/>
  <c r="B22" i="56"/>
  <c r="B20" i="60"/>
  <c r="E20" i="60"/>
  <c r="C21" i="60"/>
  <c r="B153" i="47" l="1"/>
  <c r="B153" i="48"/>
  <c r="B153" i="32"/>
  <c r="B153" i="34"/>
  <c r="B153" i="49"/>
  <c r="B153" i="36"/>
  <c r="B153" i="52"/>
  <c r="B153" i="51"/>
  <c r="B153" i="37"/>
  <c r="B153" i="31"/>
  <c r="B152" i="47"/>
  <c r="B152" i="48"/>
  <c r="B152" i="32"/>
  <c r="B152" i="34"/>
  <c r="B152" i="49"/>
  <c r="B152" i="36"/>
  <c r="B152" i="52"/>
  <c r="B152" i="51"/>
  <c r="B152" i="37"/>
  <c r="B152" i="31"/>
  <c r="B151" i="47"/>
  <c r="B151" i="48"/>
  <c r="B151" i="32"/>
  <c r="B151" i="34"/>
  <c r="B151" i="49"/>
  <c r="B151" i="36"/>
  <c r="B151" i="52"/>
  <c r="B151" i="51"/>
  <c r="B151" i="37"/>
  <c r="B151" i="31"/>
  <c r="B150" i="47"/>
  <c r="B150" i="48"/>
  <c r="B150" i="32"/>
  <c r="B150" i="34"/>
  <c r="B150" i="49"/>
  <c r="B150" i="36"/>
  <c r="B150" i="52"/>
  <c r="B150" i="51"/>
  <c r="B150" i="37"/>
  <c r="B150" i="31"/>
  <c r="B149" i="47"/>
  <c r="B149" i="48"/>
  <c r="B149" i="32"/>
  <c r="B149" i="34"/>
  <c r="B149" i="49"/>
  <c r="B149" i="36"/>
  <c r="B149" i="52"/>
  <c r="B149" i="51"/>
  <c r="B149" i="37"/>
  <c r="B149" i="31"/>
  <c r="B148" i="47"/>
  <c r="B148" i="48"/>
  <c r="B148" i="32"/>
  <c r="B148" i="34"/>
  <c r="B148" i="49"/>
  <c r="B148" i="36"/>
  <c r="B148" i="52"/>
  <c r="B148" i="51"/>
  <c r="B148" i="37"/>
  <c r="B148" i="31"/>
  <c r="B147" i="47"/>
  <c r="B147" i="48"/>
  <c r="B147" i="32"/>
  <c r="B147" i="34"/>
  <c r="B147" i="49"/>
  <c r="B147" i="36"/>
  <c r="B147" i="52"/>
  <c r="B147" i="51"/>
  <c r="B147" i="37"/>
  <c r="B147" i="31"/>
  <c r="B146" i="47"/>
  <c r="B146" i="48"/>
  <c r="B146" i="32"/>
  <c r="B146" i="34"/>
  <c r="B146" i="49"/>
  <c r="B146" i="36"/>
  <c r="B146" i="52"/>
  <c r="B146" i="51"/>
  <c r="B146" i="37"/>
  <c r="B146" i="31"/>
  <c r="B145" i="47"/>
  <c r="B145" i="48"/>
  <c r="B145" i="32"/>
  <c r="B145" i="34"/>
  <c r="B145" i="49"/>
  <c r="B145" i="36"/>
  <c r="B145" i="52"/>
  <c r="B145" i="51"/>
  <c r="B145" i="37"/>
  <c r="B145" i="31"/>
  <c r="B144" i="47"/>
  <c r="B144" i="48"/>
  <c r="B144" i="32"/>
  <c r="B144" i="34"/>
  <c r="B144" i="49"/>
  <c r="B144" i="36"/>
  <c r="B144" i="52"/>
  <c r="B144" i="51"/>
  <c r="B144" i="37"/>
  <c r="B144" i="31"/>
  <c r="C2" i="59"/>
  <c r="D2" i="59"/>
  <c r="E2" i="59"/>
  <c r="B143" i="49" s="1"/>
  <c r="F2" i="59"/>
  <c r="B143" i="36" s="1"/>
  <c r="B2" i="59"/>
  <c r="A145" i="31"/>
  <c r="A146" i="31"/>
  <c r="A147" i="31"/>
  <c r="A148" i="31"/>
  <c r="A149" i="31"/>
  <c r="A150" i="31"/>
  <c r="A151" i="31"/>
  <c r="A152" i="31"/>
  <c r="A153" i="31"/>
  <c r="A145" i="47"/>
  <c r="A146" i="47"/>
  <c r="A147" i="47"/>
  <c r="A148" i="47"/>
  <c r="A149" i="47"/>
  <c r="A150" i="47"/>
  <c r="A151" i="47"/>
  <c r="A152" i="47"/>
  <c r="A153" i="47"/>
  <c r="A145" i="48"/>
  <c r="A146" i="48"/>
  <c r="A147" i="48"/>
  <c r="A148" i="48"/>
  <c r="A149" i="48"/>
  <c r="A150" i="48"/>
  <c r="A151" i="48"/>
  <c r="A152" i="48"/>
  <c r="A153" i="48"/>
  <c r="A145" i="32"/>
  <c r="A146" i="32"/>
  <c r="A147" i="32"/>
  <c r="A148" i="32"/>
  <c r="A149" i="32"/>
  <c r="A150" i="32"/>
  <c r="A151" i="32"/>
  <c r="A152" i="32"/>
  <c r="A153" i="32"/>
  <c r="A145" i="34"/>
  <c r="A146" i="34"/>
  <c r="A147" i="34"/>
  <c r="A148" i="34"/>
  <c r="A149" i="34"/>
  <c r="A150" i="34"/>
  <c r="A151" i="34"/>
  <c r="A152" i="34"/>
  <c r="A153" i="34"/>
  <c r="A145" i="49"/>
  <c r="A146" i="49"/>
  <c r="A147" i="49"/>
  <c r="A148" i="49"/>
  <c r="A149" i="49"/>
  <c r="A150" i="49"/>
  <c r="A151" i="49"/>
  <c r="A152" i="49"/>
  <c r="A153" i="49"/>
  <c r="A145" i="36"/>
  <c r="A146" i="36"/>
  <c r="A147" i="36"/>
  <c r="A148" i="36"/>
  <c r="A149" i="36"/>
  <c r="A150" i="36"/>
  <c r="A151" i="36"/>
  <c r="A152" i="36"/>
  <c r="A153" i="36"/>
  <c r="A145" i="52"/>
  <c r="A146" i="52"/>
  <c r="A147" i="52"/>
  <c r="A148" i="52"/>
  <c r="A149" i="52"/>
  <c r="A150" i="52"/>
  <c r="A151" i="52"/>
  <c r="A152" i="52"/>
  <c r="A153" i="52"/>
  <c r="A145" i="51"/>
  <c r="A146" i="51"/>
  <c r="A147" i="51"/>
  <c r="A148" i="51"/>
  <c r="A149" i="51"/>
  <c r="A150" i="51"/>
  <c r="A151" i="51"/>
  <c r="A152" i="51"/>
  <c r="A153" i="51"/>
  <c r="A145" i="37"/>
  <c r="A146" i="37"/>
  <c r="A147" i="37"/>
  <c r="A148" i="37"/>
  <c r="A149" i="37"/>
  <c r="A150" i="37"/>
  <c r="A151" i="37"/>
  <c r="A152" i="37"/>
  <c r="A153" i="37"/>
  <c r="A144" i="31"/>
  <c r="A144" i="47"/>
  <c r="A144" i="48"/>
  <c r="A144" i="32"/>
  <c r="A144" i="34"/>
  <c r="A144" i="49"/>
  <c r="A144" i="36"/>
  <c r="A144" i="52"/>
  <c r="A144" i="51"/>
  <c r="A144" i="37"/>
  <c r="B17" i="58"/>
  <c r="C17" i="58"/>
  <c r="C17" i="56"/>
  <c r="B17" i="56"/>
  <c r="E17" i="18"/>
  <c r="D16" i="18"/>
  <c r="E16" i="18" s="1"/>
  <c r="A16" i="18"/>
  <c r="B143" i="34" l="1"/>
  <c r="B143" i="32"/>
  <c r="B143" i="31"/>
  <c r="B143" i="48"/>
  <c r="B143" i="37"/>
  <c r="B143" i="47"/>
  <c r="B143" i="51"/>
  <c r="B143" i="52"/>
  <c r="C13" i="18"/>
  <c r="C12" i="18"/>
  <c r="C11" i="18"/>
  <c r="C10" i="18"/>
  <c r="C9" i="18"/>
  <c r="C8" i="18"/>
  <c r="C7" i="18"/>
  <c r="C6" i="18"/>
  <c r="C5" i="18"/>
  <c r="C4" i="18"/>
  <c r="C3" i="18"/>
  <c r="C2" i="18"/>
  <c r="D11" i="18"/>
  <c r="E11" i="18" s="1"/>
  <c r="D13" i="18" l="1"/>
  <c r="E13" i="18" s="1"/>
  <c r="A13" i="18"/>
  <c r="D15" i="18"/>
  <c r="E15" i="18" s="1"/>
  <c r="A15" i="18"/>
  <c r="B51" i="52" l="1"/>
  <c r="C51" i="52"/>
  <c r="D51" i="52"/>
  <c r="E51" i="52"/>
  <c r="F51" i="52"/>
  <c r="G51" i="52"/>
  <c r="H51" i="52"/>
  <c r="I51" i="52"/>
  <c r="J51" i="52"/>
  <c r="K51" i="52"/>
  <c r="L51" i="52"/>
  <c r="M51" i="52"/>
  <c r="N51" i="52"/>
  <c r="B51" i="51"/>
  <c r="C51" i="51"/>
  <c r="D51" i="51"/>
  <c r="E51" i="51"/>
  <c r="F51" i="51"/>
  <c r="G51" i="51"/>
  <c r="H51" i="51"/>
  <c r="I51" i="51"/>
  <c r="J51" i="51"/>
  <c r="K51" i="51"/>
  <c r="L51" i="51"/>
  <c r="M51" i="51"/>
  <c r="N51" i="51"/>
  <c r="B51" i="37"/>
  <c r="C51" i="37"/>
  <c r="D51" i="37"/>
  <c r="E51" i="37"/>
  <c r="F51" i="37"/>
  <c r="G51" i="37"/>
  <c r="H51" i="37"/>
  <c r="I51" i="37"/>
  <c r="J51" i="37"/>
  <c r="K51" i="37"/>
  <c r="L51" i="37"/>
  <c r="M51" i="37"/>
  <c r="N51" i="37"/>
  <c r="AC51" i="36"/>
  <c r="AB51" i="36"/>
  <c r="AA51" i="36"/>
  <c r="Z51" i="36"/>
  <c r="Y51" i="36"/>
  <c r="X51" i="36"/>
  <c r="W51" i="36"/>
  <c r="V51" i="36"/>
  <c r="U51" i="36"/>
  <c r="T51" i="36"/>
  <c r="S51" i="36"/>
  <c r="R51" i="36"/>
  <c r="Q51" i="36"/>
  <c r="P51" i="36"/>
  <c r="O51" i="36"/>
  <c r="N51" i="36"/>
  <c r="M51" i="36"/>
  <c r="L51" i="36"/>
  <c r="K51" i="36"/>
  <c r="J51" i="36"/>
  <c r="I51" i="36"/>
  <c r="H51" i="36"/>
  <c r="G51" i="36"/>
  <c r="F51" i="36"/>
  <c r="E51" i="36"/>
  <c r="D51" i="36"/>
  <c r="C51" i="36"/>
  <c r="B51" i="36"/>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C51" i="32"/>
  <c r="B51" i="32"/>
  <c r="B51" i="49"/>
  <c r="C51" i="49"/>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B51" i="34"/>
  <c r="C51" i="34"/>
  <c r="D51" i="34"/>
  <c r="E51" i="34"/>
  <c r="F51" i="34"/>
  <c r="G51" i="34"/>
  <c r="H51" i="34"/>
  <c r="I51" i="34"/>
  <c r="J51" i="34"/>
  <c r="K51" i="34"/>
  <c r="L51" i="34"/>
  <c r="M51" i="34"/>
  <c r="N51" i="34"/>
  <c r="O51" i="34"/>
  <c r="P51" i="34"/>
  <c r="Q51" i="34"/>
  <c r="R51" i="34"/>
  <c r="S51" i="34"/>
  <c r="T51" i="34"/>
  <c r="U51" i="34"/>
  <c r="V51" i="34"/>
  <c r="W51" i="34"/>
  <c r="X51" i="34"/>
  <c r="Y51" i="34"/>
  <c r="Z51" i="34"/>
  <c r="AA51" i="34"/>
  <c r="AB51" i="34"/>
  <c r="AC51" i="34"/>
  <c r="B51" i="47"/>
  <c r="C51" i="47"/>
  <c r="D51" i="47"/>
  <c r="E51" i="47"/>
  <c r="F51" i="47"/>
  <c r="G51" i="47"/>
  <c r="H51" i="47"/>
  <c r="I51" i="47"/>
  <c r="J51" i="47"/>
  <c r="K51" i="47"/>
  <c r="L51" i="47"/>
  <c r="M51" i="47"/>
  <c r="N51" i="47"/>
  <c r="O51" i="47"/>
  <c r="P51" i="47"/>
  <c r="Q51" i="47"/>
  <c r="R51" i="47"/>
  <c r="S51" i="47"/>
  <c r="T51" i="47"/>
  <c r="U51" i="47"/>
  <c r="V51" i="47"/>
  <c r="W51" i="47"/>
  <c r="X51" i="47"/>
  <c r="Y51" i="47"/>
  <c r="Z51" i="47"/>
  <c r="AA51" i="47"/>
  <c r="AB51" i="47"/>
  <c r="AC51" i="47"/>
  <c r="B51"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B51" i="31"/>
  <c r="C51"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C33" i="47" l="1"/>
  <c r="AB33" i="47"/>
  <c r="AA33" i="47"/>
  <c r="Z33" i="47"/>
  <c r="Z36" i="47" s="1"/>
  <c r="Z34" i="47" s="1"/>
  <c r="Z37" i="47" s="1"/>
  <c r="Y33" i="47"/>
  <c r="X33" i="47"/>
  <c r="W33" i="47"/>
  <c r="W36" i="47" s="1"/>
  <c r="W34" i="47" s="1"/>
  <c r="W37" i="47" s="1"/>
  <c r="V33" i="47"/>
  <c r="V36" i="47" s="1"/>
  <c r="V34" i="47" s="1"/>
  <c r="V37" i="47" s="1"/>
  <c r="U33" i="47"/>
  <c r="U36" i="47" s="1"/>
  <c r="U34" i="47" s="1"/>
  <c r="U37" i="47" s="1"/>
  <c r="T33" i="47"/>
  <c r="T36" i="47" s="1"/>
  <c r="T34" i="47" s="1"/>
  <c r="T37" i="47" s="1"/>
  <c r="S33" i="47"/>
  <c r="S36" i="47" s="1"/>
  <c r="S34" i="47" s="1"/>
  <c r="S37" i="47" s="1"/>
  <c r="R33" i="47"/>
  <c r="R36" i="47" s="1"/>
  <c r="R34" i="47" s="1"/>
  <c r="R37" i="47" s="1"/>
  <c r="Q33" i="47"/>
  <c r="Q36" i="47" s="1"/>
  <c r="Q34" i="47" s="1"/>
  <c r="Q37" i="47" s="1"/>
  <c r="P33" i="47"/>
  <c r="P36" i="47" s="1"/>
  <c r="P34" i="47" s="1"/>
  <c r="P37" i="47" s="1"/>
  <c r="O33" i="47"/>
  <c r="O36" i="47" s="1"/>
  <c r="O34" i="47" s="1"/>
  <c r="O37" i="47" s="1"/>
  <c r="N33" i="47"/>
  <c r="N36" i="47" s="1"/>
  <c r="N34" i="47" s="1"/>
  <c r="N37" i="47" s="1"/>
  <c r="M33" i="47"/>
  <c r="L33" i="47"/>
  <c r="K33" i="47"/>
  <c r="J33" i="47"/>
  <c r="I33" i="47"/>
  <c r="I36" i="47" s="1"/>
  <c r="I34" i="47" s="1"/>
  <c r="I37" i="47" s="1"/>
  <c r="H33" i="47"/>
  <c r="G33" i="47"/>
  <c r="G36" i="47" s="1"/>
  <c r="G34" i="47" s="1"/>
  <c r="G37" i="47" s="1"/>
  <c r="F33" i="47"/>
  <c r="F36" i="47" s="1"/>
  <c r="F34" i="47" s="1"/>
  <c r="F37" i="47" s="1"/>
  <c r="E33" i="47"/>
  <c r="D33" i="47"/>
  <c r="D36" i="47" s="1"/>
  <c r="D34" i="47" s="1"/>
  <c r="D37" i="47" s="1"/>
  <c r="C33" i="47"/>
  <c r="C36" i="47" s="1"/>
  <c r="C34" i="47" s="1"/>
  <c r="C37" i="47" s="1"/>
  <c r="B33" i="47"/>
  <c r="B36" i="47" s="1"/>
  <c r="B34" i="47" s="1"/>
  <c r="B37" i="47" s="1"/>
  <c r="AC33" i="48"/>
  <c r="AC36" i="48" s="1"/>
  <c r="AC34" i="48" s="1"/>
  <c r="AC37" i="48" s="1"/>
  <c r="AB33" i="48"/>
  <c r="AB36" i="48" s="1"/>
  <c r="AB34" i="48" s="1"/>
  <c r="AB37" i="48" s="1"/>
  <c r="AA33" i="48"/>
  <c r="AA36" i="48" s="1"/>
  <c r="AA34" i="48" s="1"/>
  <c r="AA37" i="48" s="1"/>
  <c r="Z33" i="48"/>
  <c r="Z36" i="48" s="1"/>
  <c r="Z34" i="48" s="1"/>
  <c r="Z37" i="48" s="1"/>
  <c r="Y33" i="48"/>
  <c r="Y36" i="48" s="1"/>
  <c r="Y34" i="48" s="1"/>
  <c r="Y37" i="48" s="1"/>
  <c r="X33" i="48"/>
  <c r="W33" i="48"/>
  <c r="V33" i="48"/>
  <c r="U33" i="48"/>
  <c r="T33" i="48"/>
  <c r="S33" i="48"/>
  <c r="R33" i="48"/>
  <c r="Q33" i="48"/>
  <c r="P33" i="48"/>
  <c r="O33" i="48"/>
  <c r="N33" i="48"/>
  <c r="N36" i="48" s="1"/>
  <c r="N34" i="48" s="1"/>
  <c r="N37" i="48" s="1"/>
  <c r="M33" i="48"/>
  <c r="M36" i="48" s="1"/>
  <c r="M34" i="48" s="1"/>
  <c r="M37" i="48" s="1"/>
  <c r="L33" i="48"/>
  <c r="L36" i="48" s="1"/>
  <c r="L34" i="48" s="1"/>
  <c r="L37" i="48" s="1"/>
  <c r="K33" i="48"/>
  <c r="K36" i="48" s="1"/>
  <c r="K34" i="48" s="1"/>
  <c r="K37" i="48" s="1"/>
  <c r="J33" i="48"/>
  <c r="J36" i="48" s="1"/>
  <c r="J34" i="48" s="1"/>
  <c r="J37" i="48" s="1"/>
  <c r="I33" i="48"/>
  <c r="H33" i="48"/>
  <c r="G33" i="48"/>
  <c r="F33" i="48"/>
  <c r="F36" i="48" s="1"/>
  <c r="F34" i="48" s="1"/>
  <c r="F37" i="48" s="1"/>
  <c r="E33" i="48"/>
  <c r="D33" i="48"/>
  <c r="C33" i="48"/>
  <c r="B33" i="48"/>
  <c r="B36" i="48" s="1"/>
  <c r="B34" i="48" s="1"/>
  <c r="B37" i="48" s="1"/>
  <c r="AC33" i="32"/>
  <c r="AC36" i="32" s="1"/>
  <c r="AC34" i="32" s="1"/>
  <c r="AC37" i="32" s="1"/>
  <c r="AB33" i="32"/>
  <c r="AA33" i="32"/>
  <c r="Z33" i="32"/>
  <c r="Z36" i="32" s="1"/>
  <c r="Z34" i="32" s="1"/>
  <c r="Z37" i="32" s="1"/>
  <c r="Y33" i="32"/>
  <c r="Y36" i="32" s="1"/>
  <c r="Y34" i="32" s="1"/>
  <c r="Y37" i="32" s="1"/>
  <c r="X33" i="32"/>
  <c r="X36" i="32" s="1"/>
  <c r="X34" i="32" s="1"/>
  <c r="X37" i="32" s="1"/>
  <c r="W33" i="32"/>
  <c r="W36" i="32" s="1"/>
  <c r="W34" i="32" s="1"/>
  <c r="W37" i="32" s="1"/>
  <c r="V33" i="32"/>
  <c r="V36" i="32" s="1"/>
  <c r="V34" i="32" s="1"/>
  <c r="V37" i="32" s="1"/>
  <c r="U33" i="32"/>
  <c r="T33" i="32"/>
  <c r="S33" i="32"/>
  <c r="R33" i="32"/>
  <c r="Q33" i="32"/>
  <c r="Q36" i="32" s="1"/>
  <c r="Q34" i="32" s="1"/>
  <c r="Q37" i="32" s="1"/>
  <c r="P33" i="32"/>
  <c r="O33" i="32"/>
  <c r="N33" i="32"/>
  <c r="N36" i="32" s="1"/>
  <c r="N34" i="32" s="1"/>
  <c r="N37" i="32" s="1"/>
  <c r="M33" i="32"/>
  <c r="L33" i="32"/>
  <c r="K33" i="32"/>
  <c r="J33" i="32"/>
  <c r="I33" i="32"/>
  <c r="I36" i="32" s="1"/>
  <c r="I34" i="32" s="1"/>
  <c r="I37" i="32" s="1"/>
  <c r="H33" i="32"/>
  <c r="H36" i="32" s="1"/>
  <c r="H34" i="32" s="1"/>
  <c r="H37" i="32" s="1"/>
  <c r="G33" i="32"/>
  <c r="G36" i="32" s="1"/>
  <c r="G34" i="32" s="1"/>
  <c r="G37" i="32" s="1"/>
  <c r="F33" i="32"/>
  <c r="F36" i="32" s="1"/>
  <c r="F34" i="32" s="1"/>
  <c r="F37" i="32" s="1"/>
  <c r="E33" i="32"/>
  <c r="E36" i="32" s="1"/>
  <c r="E34" i="32" s="1"/>
  <c r="E37" i="32" s="1"/>
  <c r="D33" i="32"/>
  <c r="C33" i="32"/>
  <c r="B33" i="32"/>
  <c r="AC33" i="34"/>
  <c r="AB33" i="34"/>
  <c r="AA33" i="34"/>
  <c r="Z33" i="34"/>
  <c r="Z36" i="34" s="1"/>
  <c r="Z34" i="34" s="1"/>
  <c r="Z37" i="34" s="1"/>
  <c r="Y33" i="34"/>
  <c r="X33" i="34"/>
  <c r="W33" i="34"/>
  <c r="V33" i="34"/>
  <c r="V36" i="34" s="1"/>
  <c r="V34" i="34" s="1"/>
  <c r="V37" i="34" s="1"/>
  <c r="U33" i="34"/>
  <c r="U36" i="34" s="1"/>
  <c r="U34" i="34" s="1"/>
  <c r="U37" i="34" s="1"/>
  <c r="T33" i="34"/>
  <c r="T36" i="34" s="1"/>
  <c r="T34" i="34" s="1"/>
  <c r="T37" i="34" s="1"/>
  <c r="S33" i="34"/>
  <c r="S36" i="34" s="1"/>
  <c r="S34" i="34" s="1"/>
  <c r="S37" i="34" s="1"/>
  <c r="R33" i="34"/>
  <c r="R36" i="34" s="1"/>
  <c r="R34" i="34" s="1"/>
  <c r="R37" i="34" s="1"/>
  <c r="Q33" i="34"/>
  <c r="P33" i="34"/>
  <c r="O33" i="34"/>
  <c r="N33" i="34"/>
  <c r="N36" i="34" s="1"/>
  <c r="N34" i="34" s="1"/>
  <c r="N37" i="34" s="1"/>
  <c r="M33" i="34"/>
  <c r="L33" i="34"/>
  <c r="K33" i="34"/>
  <c r="J33" i="34"/>
  <c r="J36" i="34" s="1"/>
  <c r="J34" i="34" s="1"/>
  <c r="J37" i="34" s="1"/>
  <c r="I33" i="34"/>
  <c r="I36" i="34" s="1"/>
  <c r="I34" i="34" s="1"/>
  <c r="I37" i="34" s="1"/>
  <c r="H33" i="34"/>
  <c r="G33" i="34"/>
  <c r="G36" i="34" s="1"/>
  <c r="G34" i="34" s="1"/>
  <c r="G37" i="34" s="1"/>
  <c r="F33" i="34"/>
  <c r="F36" i="34" s="1"/>
  <c r="F34" i="34" s="1"/>
  <c r="F37" i="34" s="1"/>
  <c r="E33" i="34"/>
  <c r="E36" i="34" s="1"/>
  <c r="E34" i="34" s="1"/>
  <c r="E37" i="34" s="1"/>
  <c r="D33" i="34"/>
  <c r="D36" i="34" s="1"/>
  <c r="D34" i="34" s="1"/>
  <c r="D37" i="34" s="1"/>
  <c r="C33" i="34"/>
  <c r="C36" i="34" s="1"/>
  <c r="C34" i="34" s="1"/>
  <c r="C37" i="34" s="1"/>
  <c r="B33" i="34"/>
  <c r="B36" i="34" s="1"/>
  <c r="B34" i="34" s="1"/>
  <c r="B37" i="34" s="1"/>
  <c r="AC33" i="49"/>
  <c r="AB33" i="49"/>
  <c r="AA33" i="49"/>
  <c r="Z33" i="49"/>
  <c r="Z36" i="49" s="1"/>
  <c r="Z34" i="49" s="1"/>
  <c r="Z37" i="49" s="1"/>
  <c r="Y33" i="49"/>
  <c r="Y36" i="49" s="1"/>
  <c r="Y34" i="49" s="1"/>
  <c r="Y37" i="49" s="1"/>
  <c r="X33" i="49"/>
  <c r="X36" i="49" s="1"/>
  <c r="X34" i="49" s="1"/>
  <c r="X37" i="49" s="1"/>
  <c r="W33" i="49"/>
  <c r="W36" i="49" s="1"/>
  <c r="W34" i="49" s="1"/>
  <c r="W37" i="49" s="1"/>
  <c r="V33" i="49"/>
  <c r="V36" i="49" s="1"/>
  <c r="V34" i="49" s="1"/>
  <c r="V37" i="49" s="1"/>
  <c r="U33" i="49"/>
  <c r="T33" i="49"/>
  <c r="S33" i="49"/>
  <c r="R33" i="49"/>
  <c r="R36" i="49" s="1"/>
  <c r="R34" i="49" s="1"/>
  <c r="R37" i="49" s="1"/>
  <c r="Q33" i="49"/>
  <c r="Q36" i="49" s="1"/>
  <c r="Q34" i="49" s="1"/>
  <c r="Q37" i="49" s="1"/>
  <c r="P33" i="49"/>
  <c r="P36" i="49" s="1"/>
  <c r="P34" i="49" s="1"/>
  <c r="P37" i="49" s="1"/>
  <c r="O33" i="49"/>
  <c r="O36" i="49" s="1"/>
  <c r="O34" i="49" s="1"/>
  <c r="O37" i="49" s="1"/>
  <c r="N33" i="49"/>
  <c r="N36" i="49" s="1"/>
  <c r="N34" i="49" s="1"/>
  <c r="N37" i="49" s="1"/>
  <c r="M33" i="49"/>
  <c r="M36" i="49" s="1"/>
  <c r="M34" i="49" s="1"/>
  <c r="M37" i="49" s="1"/>
  <c r="L33" i="49"/>
  <c r="L36" i="49" s="1"/>
  <c r="L34" i="49" s="1"/>
  <c r="L37" i="49" s="1"/>
  <c r="K33" i="49"/>
  <c r="K36" i="49" s="1"/>
  <c r="K34" i="49" s="1"/>
  <c r="K37" i="49" s="1"/>
  <c r="J33" i="49"/>
  <c r="J36" i="49" s="1"/>
  <c r="J34" i="49" s="1"/>
  <c r="J37" i="49" s="1"/>
  <c r="I33" i="49"/>
  <c r="H33" i="49"/>
  <c r="G33" i="49"/>
  <c r="F33" i="49"/>
  <c r="F36" i="49" s="1"/>
  <c r="F34" i="49" s="1"/>
  <c r="F37" i="49" s="1"/>
  <c r="E33" i="49"/>
  <c r="D33" i="49"/>
  <c r="C33" i="49"/>
  <c r="B33" i="49"/>
  <c r="B36" i="49" s="1"/>
  <c r="B34" i="49" s="1"/>
  <c r="B37" i="49" s="1"/>
  <c r="AC33" i="36"/>
  <c r="AC36" i="36" s="1"/>
  <c r="AC34" i="36" s="1"/>
  <c r="AC37" i="36" s="1"/>
  <c r="AB33" i="36"/>
  <c r="AB36" i="36" s="1"/>
  <c r="AB34" i="36" s="1"/>
  <c r="AB37" i="36" s="1"/>
  <c r="AA33" i="36"/>
  <c r="AA36" i="36" s="1"/>
  <c r="AA34" i="36" s="1"/>
  <c r="AA37" i="36" s="1"/>
  <c r="Z33" i="36"/>
  <c r="Z36" i="36" s="1"/>
  <c r="Z34" i="36" s="1"/>
  <c r="Z37" i="36" s="1"/>
  <c r="Y33" i="36"/>
  <c r="X33" i="36"/>
  <c r="W33" i="36"/>
  <c r="V33" i="36"/>
  <c r="V36" i="36" s="1"/>
  <c r="V34" i="36" s="1"/>
  <c r="V37" i="36" s="1"/>
  <c r="U33" i="36"/>
  <c r="T33" i="36"/>
  <c r="S33" i="36"/>
  <c r="R33" i="36"/>
  <c r="R36" i="36" s="1"/>
  <c r="R34" i="36" s="1"/>
  <c r="R37" i="36" s="1"/>
  <c r="Q33" i="36"/>
  <c r="Q36" i="36" s="1"/>
  <c r="Q34" i="36" s="1"/>
  <c r="Q37" i="36" s="1"/>
  <c r="P33" i="36"/>
  <c r="P36" i="36" s="1"/>
  <c r="P34" i="36" s="1"/>
  <c r="P37" i="36" s="1"/>
  <c r="O33" i="36"/>
  <c r="O36" i="36" s="1"/>
  <c r="O34" i="36" s="1"/>
  <c r="O37" i="36" s="1"/>
  <c r="N33" i="36"/>
  <c r="N36" i="36" s="1"/>
  <c r="N34" i="36" s="1"/>
  <c r="N37" i="36" s="1"/>
  <c r="M33" i="36"/>
  <c r="M36" i="36" s="1"/>
  <c r="M34" i="36" s="1"/>
  <c r="M37" i="36" s="1"/>
  <c r="L33" i="36"/>
  <c r="L36" i="36" s="1"/>
  <c r="L34" i="36" s="1"/>
  <c r="L37" i="36" s="1"/>
  <c r="K33" i="36"/>
  <c r="K36" i="36" s="1"/>
  <c r="K34" i="36" s="1"/>
  <c r="K37" i="36" s="1"/>
  <c r="J33" i="36"/>
  <c r="J36" i="36" s="1"/>
  <c r="J34" i="36" s="1"/>
  <c r="J37" i="36" s="1"/>
  <c r="I33" i="36"/>
  <c r="H33" i="36"/>
  <c r="G33" i="36"/>
  <c r="F33" i="36"/>
  <c r="F36" i="36" s="1"/>
  <c r="F34" i="36" s="1"/>
  <c r="F37" i="36" s="1"/>
  <c r="E33" i="36"/>
  <c r="E36" i="36" s="1"/>
  <c r="E34" i="36" s="1"/>
  <c r="E37" i="36" s="1"/>
  <c r="D33" i="36"/>
  <c r="C33" i="36"/>
  <c r="C36" i="36" s="1"/>
  <c r="C34" i="36" s="1"/>
  <c r="C37" i="36" s="1"/>
  <c r="B33" i="36"/>
  <c r="B36" i="36" s="1"/>
  <c r="B34" i="36" s="1"/>
  <c r="B37" i="36" s="1"/>
  <c r="AC33" i="31"/>
  <c r="AB33" i="31"/>
  <c r="AA33" i="31"/>
  <c r="Z33" i="31"/>
  <c r="Z36" i="31" s="1"/>
  <c r="Z34" i="31" s="1"/>
  <c r="Z37" i="31" s="1"/>
  <c r="Y33" i="31"/>
  <c r="Y36" i="31" s="1"/>
  <c r="Y34" i="31" s="1"/>
  <c r="Y37" i="31" s="1"/>
  <c r="X33" i="31"/>
  <c r="X36" i="31" s="1"/>
  <c r="X34" i="31" s="1"/>
  <c r="X37" i="31" s="1"/>
  <c r="W33" i="31"/>
  <c r="W36" i="31" s="1"/>
  <c r="W34" i="31" s="1"/>
  <c r="W37" i="31" s="1"/>
  <c r="V33" i="31"/>
  <c r="V36" i="31" s="1"/>
  <c r="V34" i="31" s="1"/>
  <c r="V37" i="31" s="1"/>
  <c r="U33" i="31"/>
  <c r="U36" i="31" s="1"/>
  <c r="U34" i="31" s="1"/>
  <c r="U37" i="31" s="1"/>
  <c r="T33" i="31"/>
  <c r="S33" i="31"/>
  <c r="S36" i="31" s="1"/>
  <c r="S34" i="31" s="1"/>
  <c r="S37" i="31" s="1"/>
  <c r="R33" i="31"/>
  <c r="R36" i="31" s="1"/>
  <c r="R34" i="31" s="1"/>
  <c r="R37" i="31" s="1"/>
  <c r="Q33" i="31"/>
  <c r="P33" i="31"/>
  <c r="O33" i="31"/>
  <c r="N33" i="31"/>
  <c r="N36" i="31" s="1"/>
  <c r="N34" i="31" s="1"/>
  <c r="N37" i="31" s="1"/>
  <c r="M33" i="31"/>
  <c r="L33" i="31"/>
  <c r="K33" i="31"/>
  <c r="J33" i="31"/>
  <c r="J36" i="31" s="1"/>
  <c r="J34" i="31" s="1"/>
  <c r="J37" i="31" s="1"/>
  <c r="I33" i="31"/>
  <c r="I36" i="31" s="1"/>
  <c r="I34" i="31" s="1"/>
  <c r="I37" i="31" s="1"/>
  <c r="H33" i="31"/>
  <c r="H36" i="31" s="1"/>
  <c r="H34" i="31" s="1"/>
  <c r="H37" i="31" s="1"/>
  <c r="G33" i="31"/>
  <c r="G36" i="31" s="1"/>
  <c r="G34" i="31" s="1"/>
  <c r="G37" i="31" s="1"/>
  <c r="F33" i="31"/>
  <c r="F36" i="31" s="1"/>
  <c r="F34" i="31" s="1"/>
  <c r="F37" i="31" s="1"/>
  <c r="E33" i="31"/>
  <c r="D33" i="31"/>
  <c r="C33" i="31"/>
  <c r="B33" i="31"/>
  <c r="B36" i="31" s="1"/>
  <c r="B34" i="31" s="1"/>
  <c r="B37" i="31" s="1"/>
  <c r="D12" i="18"/>
  <c r="E12" i="18" s="1"/>
  <c r="A12" i="18"/>
  <c r="X35" i="31"/>
  <c r="Q35" i="31"/>
  <c r="X35" i="47"/>
  <c r="Q35" i="47"/>
  <c r="X35" i="48"/>
  <c r="Q35" i="48"/>
  <c r="X35" i="32"/>
  <c r="Q35" i="32"/>
  <c r="X35" i="34"/>
  <c r="Q35" i="34"/>
  <c r="X35" i="49"/>
  <c r="Q35" i="49"/>
  <c r="X35" i="36"/>
  <c r="Q35" i="36"/>
  <c r="W35" i="36"/>
  <c r="V35" i="36"/>
  <c r="U35" i="36"/>
  <c r="T35" i="36"/>
  <c r="S35" i="36"/>
  <c r="R35" i="36"/>
  <c r="W35" i="49"/>
  <c r="V35" i="49"/>
  <c r="U35" i="49"/>
  <c r="T35" i="49"/>
  <c r="S35" i="49"/>
  <c r="R35" i="49"/>
  <c r="W35" i="34"/>
  <c r="V35" i="34"/>
  <c r="U35" i="34"/>
  <c r="T35" i="34"/>
  <c r="S35" i="34"/>
  <c r="R35" i="34"/>
  <c r="W35" i="32"/>
  <c r="V35" i="32"/>
  <c r="U35" i="32"/>
  <c r="T35" i="32"/>
  <c r="S35" i="32"/>
  <c r="R35" i="32"/>
  <c r="W35" i="48"/>
  <c r="V35" i="48"/>
  <c r="U35" i="48"/>
  <c r="T35" i="48"/>
  <c r="S35" i="48"/>
  <c r="R35" i="48"/>
  <c r="W35" i="47"/>
  <c r="V35" i="47"/>
  <c r="U35" i="47"/>
  <c r="T35" i="47"/>
  <c r="S35" i="47"/>
  <c r="R35" i="47"/>
  <c r="W35" i="31"/>
  <c r="V35" i="31"/>
  <c r="U35" i="31"/>
  <c r="T35" i="31"/>
  <c r="S35" i="31"/>
  <c r="R35" i="31"/>
  <c r="W87" i="36"/>
  <c r="W18" i="36" s="1"/>
  <c r="V87" i="36"/>
  <c r="V18" i="36" s="1"/>
  <c r="U87" i="36"/>
  <c r="U18" i="36" s="1"/>
  <c r="T87" i="36"/>
  <c r="T18" i="36" s="1"/>
  <c r="S87" i="36"/>
  <c r="S18" i="36" s="1"/>
  <c r="R87" i="36"/>
  <c r="R18" i="36" s="1"/>
  <c r="Q87" i="36"/>
  <c r="Q18" i="36" s="1"/>
  <c r="P87" i="36"/>
  <c r="P18" i="36" s="1"/>
  <c r="O87" i="36"/>
  <c r="O18" i="36" s="1"/>
  <c r="N87" i="36"/>
  <c r="N18" i="36" s="1"/>
  <c r="M87" i="36"/>
  <c r="M18" i="36" s="1"/>
  <c r="L87" i="36"/>
  <c r="L18" i="36" s="1"/>
  <c r="W87" i="49"/>
  <c r="W18" i="49" s="1"/>
  <c r="V87" i="49"/>
  <c r="V18" i="49" s="1"/>
  <c r="U87" i="49"/>
  <c r="U18" i="49" s="1"/>
  <c r="T87" i="49"/>
  <c r="T18" i="49" s="1"/>
  <c r="S87" i="49"/>
  <c r="S18" i="49" s="1"/>
  <c r="R87" i="49"/>
  <c r="R18" i="49" s="1"/>
  <c r="Q87" i="49"/>
  <c r="Q18" i="49" s="1"/>
  <c r="P87" i="49"/>
  <c r="P18" i="49" s="1"/>
  <c r="O87" i="49"/>
  <c r="O18" i="49" s="1"/>
  <c r="N87" i="49"/>
  <c r="N18" i="49" s="1"/>
  <c r="M87" i="49"/>
  <c r="M18" i="49" s="1"/>
  <c r="L87" i="49"/>
  <c r="L18" i="49" s="1"/>
  <c r="W87" i="34"/>
  <c r="W18" i="34" s="1"/>
  <c r="V87" i="34"/>
  <c r="V18" i="34" s="1"/>
  <c r="U87" i="34"/>
  <c r="U18" i="34" s="1"/>
  <c r="T87" i="34"/>
  <c r="T18" i="34" s="1"/>
  <c r="S87" i="34"/>
  <c r="S18" i="34" s="1"/>
  <c r="R87" i="34"/>
  <c r="R18" i="34" s="1"/>
  <c r="Q87" i="34"/>
  <c r="Q18" i="34" s="1"/>
  <c r="P87" i="34"/>
  <c r="P18" i="34" s="1"/>
  <c r="O87" i="34"/>
  <c r="O18" i="34" s="1"/>
  <c r="N87" i="34"/>
  <c r="N18" i="34" s="1"/>
  <c r="M87" i="34"/>
  <c r="M18" i="34" s="1"/>
  <c r="L87" i="34"/>
  <c r="L18" i="34" s="1"/>
  <c r="W87" i="32"/>
  <c r="W18" i="32" s="1"/>
  <c r="V87" i="32"/>
  <c r="V18" i="32" s="1"/>
  <c r="U87" i="32"/>
  <c r="U18" i="32" s="1"/>
  <c r="T87" i="32"/>
  <c r="T18" i="32" s="1"/>
  <c r="S87" i="32"/>
  <c r="S18" i="32" s="1"/>
  <c r="R87" i="32"/>
  <c r="R18" i="32" s="1"/>
  <c r="Q87" i="32"/>
  <c r="Q18" i="32" s="1"/>
  <c r="P87" i="32"/>
  <c r="P18" i="32" s="1"/>
  <c r="O87" i="32"/>
  <c r="O18" i="32" s="1"/>
  <c r="N87" i="32"/>
  <c r="N18" i="32" s="1"/>
  <c r="M87" i="32"/>
  <c r="M18" i="32" s="1"/>
  <c r="L87" i="32"/>
  <c r="L18" i="32" s="1"/>
  <c r="W87" i="48"/>
  <c r="W18" i="48" s="1"/>
  <c r="V87" i="48"/>
  <c r="V18" i="48" s="1"/>
  <c r="U87" i="48"/>
  <c r="U18" i="48" s="1"/>
  <c r="T87" i="48"/>
  <c r="T18" i="48" s="1"/>
  <c r="S87" i="48"/>
  <c r="S18" i="48" s="1"/>
  <c r="R87" i="48"/>
  <c r="R18" i="48" s="1"/>
  <c r="Q87" i="48"/>
  <c r="Q18" i="48" s="1"/>
  <c r="P87" i="48"/>
  <c r="P18" i="48" s="1"/>
  <c r="O87" i="48"/>
  <c r="O18" i="48" s="1"/>
  <c r="N87" i="48"/>
  <c r="N18" i="48" s="1"/>
  <c r="M87" i="48"/>
  <c r="M18" i="48" s="1"/>
  <c r="L87" i="48"/>
  <c r="L18" i="48" s="1"/>
  <c r="W87" i="47"/>
  <c r="W18" i="47" s="1"/>
  <c r="V87" i="47"/>
  <c r="V18" i="47" s="1"/>
  <c r="U87" i="47"/>
  <c r="U18" i="47" s="1"/>
  <c r="T87" i="47"/>
  <c r="T18" i="47" s="1"/>
  <c r="S87" i="47"/>
  <c r="S18" i="47" s="1"/>
  <c r="R87" i="47"/>
  <c r="R18" i="47" s="1"/>
  <c r="Q87" i="47"/>
  <c r="Q18" i="47" s="1"/>
  <c r="P87" i="47"/>
  <c r="P18" i="47" s="1"/>
  <c r="O87" i="47"/>
  <c r="O18" i="47" s="1"/>
  <c r="N87" i="47"/>
  <c r="N18" i="47" s="1"/>
  <c r="M87" i="47"/>
  <c r="M18" i="47" s="1"/>
  <c r="L87" i="47"/>
  <c r="L18" i="47" s="1"/>
  <c r="L87" i="31"/>
  <c r="L18" i="31" s="1"/>
  <c r="M87" i="31"/>
  <c r="M18" i="31" s="1"/>
  <c r="N87" i="31"/>
  <c r="N18" i="31" s="1"/>
  <c r="O87" i="31"/>
  <c r="O18" i="31" s="1"/>
  <c r="P87" i="31"/>
  <c r="P18" i="31" s="1"/>
  <c r="Q87" i="31"/>
  <c r="Q18" i="31" s="1"/>
  <c r="R87" i="31"/>
  <c r="R18" i="31" s="1"/>
  <c r="S87" i="31"/>
  <c r="S18" i="31" s="1"/>
  <c r="T87" i="31"/>
  <c r="T18" i="31" s="1"/>
  <c r="U87" i="31"/>
  <c r="U18" i="31" s="1"/>
  <c r="V87" i="31"/>
  <c r="V18" i="31" s="1"/>
  <c r="W87" i="31"/>
  <c r="W18" i="31" s="1"/>
  <c r="N74" i="37"/>
  <c r="M74" i="37"/>
  <c r="L74" i="37"/>
  <c r="K74" i="37"/>
  <c r="J74" i="37"/>
  <c r="I74" i="37"/>
  <c r="H74" i="37"/>
  <c r="G74" i="37"/>
  <c r="F74" i="37"/>
  <c r="E74" i="37"/>
  <c r="D74" i="37"/>
  <c r="C74" i="37"/>
  <c r="B74" i="37"/>
  <c r="N73" i="37"/>
  <c r="M73" i="37"/>
  <c r="L73" i="37"/>
  <c r="K73" i="37"/>
  <c r="J73" i="37"/>
  <c r="I73" i="37"/>
  <c r="H73" i="37"/>
  <c r="G73" i="37"/>
  <c r="F73" i="37"/>
  <c r="E73" i="37"/>
  <c r="D73" i="37"/>
  <c r="C73" i="37"/>
  <c r="B73" i="37"/>
  <c r="N72" i="37"/>
  <c r="M72" i="37"/>
  <c r="L72" i="37"/>
  <c r="K72" i="37"/>
  <c r="J72" i="37"/>
  <c r="I72" i="37"/>
  <c r="H72" i="37"/>
  <c r="G72" i="37"/>
  <c r="F72" i="37"/>
  <c r="E72" i="37"/>
  <c r="D72" i="37"/>
  <c r="C72" i="37"/>
  <c r="B72" i="37"/>
  <c r="N71" i="37"/>
  <c r="M71" i="37"/>
  <c r="L71" i="37"/>
  <c r="K71" i="37"/>
  <c r="J71" i="37"/>
  <c r="I71" i="37"/>
  <c r="H71" i="37"/>
  <c r="G71" i="37"/>
  <c r="F71" i="37"/>
  <c r="E71" i="37"/>
  <c r="D71" i="37"/>
  <c r="C71" i="37"/>
  <c r="B71" i="37"/>
  <c r="M70" i="37"/>
  <c r="L70" i="37"/>
  <c r="K70" i="37"/>
  <c r="J70" i="37"/>
  <c r="I70" i="37"/>
  <c r="H70" i="37"/>
  <c r="G70" i="37"/>
  <c r="F70" i="37"/>
  <c r="E70" i="37"/>
  <c r="D70" i="37"/>
  <c r="C70" i="37"/>
  <c r="B70" i="37"/>
  <c r="N69" i="37"/>
  <c r="M69" i="37"/>
  <c r="L69" i="37"/>
  <c r="K69" i="37"/>
  <c r="J69" i="37"/>
  <c r="I69" i="37"/>
  <c r="H69" i="37"/>
  <c r="G69" i="37"/>
  <c r="F69" i="37"/>
  <c r="E69" i="37"/>
  <c r="D69" i="37"/>
  <c r="C69" i="37"/>
  <c r="B69" i="37"/>
  <c r="N68" i="37"/>
  <c r="M68" i="37"/>
  <c r="L68" i="37"/>
  <c r="K68" i="37"/>
  <c r="J68" i="37"/>
  <c r="I68" i="37"/>
  <c r="H68" i="37"/>
  <c r="G68" i="37"/>
  <c r="F68" i="37"/>
  <c r="E68" i="37"/>
  <c r="D68" i="37"/>
  <c r="C68" i="37"/>
  <c r="B68" i="37"/>
  <c r="M67" i="37"/>
  <c r="L67" i="37"/>
  <c r="K67" i="37"/>
  <c r="J67" i="37"/>
  <c r="I67" i="37"/>
  <c r="H67" i="37"/>
  <c r="G67" i="37"/>
  <c r="F67" i="37"/>
  <c r="E67" i="37"/>
  <c r="D67" i="37"/>
  <c r="C67" i="37"/>
  <c r="B67" i="37"/>
  <c r="N66" i="37"/>
  <c r="M66" i="37"/>
  <c r="L66" i="37"/>
  <c r="K66" i="37"/>
  <c r="J66" i="37"/>
  <c r="I66" i="37"/>
  <c r="H66" i="37"/>
  <c r="G66" i="37"/>
  <c r="F66" i="37"/>
  <c r="E66" i="37"/>
  <c r="D66" i="37"/>
  <c r="C66" i="37"/>
  <c r="B66" i="37"/>
  <c r="N65" i="37"/>
  <c r="M65" i="37"/>
  <c r="L65" i="37"/>
  <c r="K65" i="37"/>
  <c r="J65" i="37"/>
  <c r="I65" i="37"/>
  <c r="H65" i="37"/>
  <c r="G65" i="37"/>
  <c r="F65" i="37"/>
  <c r="E65" i="37"/>
  <c r="D65" i="37"/>
  <c r="C65" i="37"/>
  <c r="B65" i="37"/>
  <c r="N64" i="37"/>
  <c r="M64" i="37"/>
  <c r="L64" i="37"/>
  <c r="K64" i="37"/>
  <c r="J64" i="37"/>
  <c r="I64" i="37"/>
  <c r="H64" i="37"/>
  <c r="G64" i="37"/>
  <c r="F64" i="37"/>
  <c r="E64" i="37"/>
  <c r="D64" i="37"/>
  <c r="C64" i="37"/>
  <c r="B64" i="37"/>
  <c r="N63" i="37"/>
  <c r="M63" i="37"/>
  <c r="L63" i="37"/>
  <c r="K63" i="37"/>
  <c r="J63" i="37"/>
  <c r="I63" i="37"/>
  <c r="H63" i="37"/>
  <c r="G63" i="37"/>
  <c r="F63" i="37"/>
  <c r="E63" i="37"/>
  <c r="D63" i="37"/>
  <c r="C63" i="37"/>
  <c r="B63" i="37"/>
  <c r="N62" i="37"/>
  <c r="M62" i="37"/>
  <c r="L62" i="37"/>
  <c r="K62" i="37"/>
  <c r="J62" i="37"/>
  <c r="I62" i="37"/>
  <c r="H62" i="37"/>
  <c r="G62" i="37"/>
  <c r="F62" i="37"/>
  <c r="E62" i="37"/>
  <c r="D62" i="37"/>
  <c r="C62" i="37"/>
  <c r="B62" i="37"/>
  <c r="N61" i="37"/>
  <c r="M61" i="37"/>
  <c r="L61" i="37"/>
  <c r="K61" i="37"/>
  <c r="J61" i="37"/>
  <c r="I61" i="37"/>
  <c r="H61" i="37"/>
  <c r="G61" i="37"/>
  <c r="F61" i="37"/>
  <c r="E61" i="37"/>
  <c r="D61" i="37"/>
  <c r="C61" i="37"/>
  <c r="B61" i="37"/>
  <c r="N60" i="37"/>
  <c r="M60" i="37"/>
  <c r="L60" i="37"/>
  <c r="K60" i="37"/>
  <c r="J60" i="37"/>
  <c r="I60" i="37"/>
  <c r="H60" i="37"/>
  <c r="G60" i="37"/>
  <c r="F60" i="37"/>
  <c r="E60" i="37"/>
  <c r="D60" i="37"/>
  <c r="C60" i="37"/>
  <c r="B60" i="37"/>
  <c r="N59" i="37"/>
  <c r="M59" i="37"/>
  <c r="L59" i="37"/>
  <c r="K59" i="37"/>
  <c r="J59" i="37"/>
  <c r="I59" i="37"/>
  <c r="H59" i="37"/>
  <c r="G59" i="37"/>
  <c r="F59" i="37"/>
  <c r="E59" i="37"/>
  <c r="D59" i="37"/>
  <c r="C59" i="37"/>
  <c r="B59" i="37"/>
  <c r="N74" i="52"/>
  <c r="M74" i="52"/>
  <c r="L74" i="52"/>
  <c r="K74" i="52"/>
  <c r="J74" i="52"/>
  <c r="I74" i="52"/>
  <c r="H74" i="52"/>
  <c r="G74" i="52"/>
  <c r="F74" i="52"/>
  <c r="E74" i="52"/>
  <c r="D74" i="52"/>
  <c r="C74" i="52"/>
  <c r="B74" i="52"/>
  <c r="N73" i="52"/>
  <c r="M73" i="52"/>
  <c r="L73" i="52"/>
  <c r="K73" i="52"/>
  <c r="J73" i="52"/>
  <c r="I73" i="52"/>
  <c r="H73" i="52"/>
  <c r="G73" i="52"/>
  <c r="F73" i="52"/>
  <c r="E73" i="52"/>
  <c r="D73" i="52"/>
  <c r="C73" i="52"/>
  <c r="B73" i="52"/>
  <c r="N72" i="52"/>
  <c r="M72" i="52"/>
  <c r="L72" i="52"/>
  <c r="K72" i="52"/>
  <c r="J72" i="52"/>
  <c r="I72" i="52"/>
  <c r="H72" i="52"/>
  <c r="G72" i="52"/>
  <c r="F72" i="52"/>
  <c r="E72" i="52"/>
  <c r="D72" i="52"/>
  <c r="C72" i="52"/>
  <c r="B72" i="52"/>
  <c r="N71" i="52"/>
  <c r="M71" i="52"/>
  <c r="L71" i="52"/>
  <c r="K71" i="52"/>
  <c r="J71" i="52"/>
  <c r="I71" i="52"/>
  <c r="H71" i="52"/>
  <c r="G71" i="52"/>
  <c r="F71" i="52"/>
  <c r="E71" i="52"/>
  <c r="D71" i="52"/>
  <c r="C71" i="52"/>
  <c r="B71" i="52"/>
  <c r="M70" i="52"/>
  <c r="L70" i="52"/>
  <c r="K70" i="52"/>
  <c r="J70" i="52"/>
  <c r="I70" i="52"/>
  <c r="H70" i="52"/>
  <c r="G70" i="52"/>
  <c r="F70" i="52"/>
  <c r="E70" i="52"/>
  <c r="D70" i="52"/>
  <c r="C70" i="52"/>
  <c r="B70" i="52"/>
  <c r="N69" i="52"/>
  <c r="M69" i="52"/>
  <c r="L69" i="52"/>
  <c r="K69" i="52"/>
  <c r="J69" i="52"/>
  <c r="I69" i="52"/>
  <c r="H69" i="52"/>
  <c r="G69" i="52"/>
  <c r="F69" i="52"/>
  <c r="E69" i="52"/>
  <c r="D69" i="52"/>
  <c r="C69" i="52"/>
  <c r="B69" i="52"/>
  <c r="N68" i="52"/>
  <c r="M68" i="52"/>
  <c r="L68" i="52"/>
  <c r="K68" i="52"/>
  <c r="J68" i="52"/>
  <c r="I68" i="52"/>
  <c r="H68" i="52"/>
  <c r="G68" i="52"/>
  <c r="F68" i="52"/>
  <c r="E68" i="52"/>
  <c r="D68" i="52"/>
  <c r="C68" i="52"/>
  <c r="B68" i="52"/>
  <c r="M67" i="52"/>
  <c r="L67" i="52"/>
  <c r="K67" i="52"/>
  <c r="J67" i="52"/>
  <c r="I67" i="52"/>
  <c r="H67" i="52"/>
  <c r="G67" i="52"/>
  <c r="F67" i="52"/>
  <c r="E67" i="52"/>
  <c r="D67" i="52"/>
  <c r="C67" i="52"/>
  <c r="B67" i="52"/>
  <c r="N66" i="52"/>
  <c r="M66" i="52"/>
  <c r="L66" i="52"/>
  <c r="K66" i="52"/>
  <c r="J66" i="52"/>
  <c r="I66" i="52"/>
  <c r="H66" i="52"/>
  <c r="G66" i="52"/>
  <c r="F66" i="52"/>
  <c r="E66" i="52"/>
  <c r="D66" i="52"/>
  <c r="C66" i="52"/>
  <c r="B66" i="52"/>
  <c r="N65" i="52"/>
  <c r="M65" i="52"/>
  <c r="L65" i="52"/>
  <c r="K65" i="52"/>
  <c r="J65" i="52"/>
  <c r="I65" i="52"/>
  <c r="H65" i="52"/>
  <c r="G65" i="52"/>
  <c r="F65" i="52"/>
  <c r="E65" i="52"/>
  <c r="D65" i="52"/>
  <c r="C65" i="52"/>
  <c r="B65" i="52"/>
  <c r="N64" i="52"/>
  <c r="M64" i="52"/>
  <c r="L64" i="52"/>
  <c r="K64" i="52"/>
  <c r="J64" i="52"/>
  <c r="I64" i="52"/>
  <c r="H64" i="52"/>
  <c r="G64" i="52"/>
  <c r="F64" i="52"/>
  <c r="E64" i="52"/>
  <c r="D64" i="52"/>
  <c r="C64" i="52"/>
  <c r="B64" i="52"/>
  <c r="N63" i="52"/>
  <c r="M63" i="52"/>
  <c r="L63" i="52"/>
  <c r="K63" i="52"/>
  <c r="J63" i="52"/>
  <c r="I63" i="52"/>
  <c r="H63" i="52"/>
  <c r="G63" i="52"/>
  <c r="F63" i="52"/>
  <c r="E63" i="52"/>
  <c r="D63" i="52"/>
  <c r="C63" i="52"/>
  <c r="B63" i="52"/>
  <c r="N62" i="52"/>
  <c r="M62" i="52"/>
  <c r="L62" i="52"/>
  <c r="K62" i="52"/>
  <c r="J62" i="52"/>
  <c r="I62" i="52"/>
  <c r="H62" i="52"/>
  <c r="G62" i="52"/>
  <c r="F62" i="52"/>
  <c r="E62" i="52"/>
  <c r="D62" i="52"/>
  <c r="C62" i="52"/>
  <c r="B62" i="52"/>
  <c r="N61" i="52"/>
  <c r="M61" i="52"/>
  <c r="L61" i="52"/>
  <c r="K61" i="52"/>
  <c r="J61" i="52"/>
  <c r="I61" i="52"/>
  <c r="H61" i="52"/>
  <c r="G61" i="52"/>
  <c r="F61" i="52"/>
  <c r="E61" i="52"/>
  <c r="D61" i="52"/>
  <c r="C61" i="52"/>
  <c r="B61" i="52"/>
  <c r="N60" i="52"/>
  <c r="M60" i="52"/>
  <c r="L60" i="52"/>
  <c r="K60" i="52"/>
  <c r="J60" i="52"/>
  <c r="I60" i="52"/>
  <c r="H60" i="52"/>
  <c r="G60" i="52"/>
  <c r="F60" i="52"/>
  <c r="E60" i="52"/>
  <c r="D60" i="52"/>
  <c r="C60" i="52"/>
  <c r="B60" i="52"/>
  <c r="N59" i="52"/>
  <c r="M59" i="52"/>
  <c r="L59" i="52"/>
  <c r="K59" i="52"/>
  <c r="J59" i="52"/>
  <c r="I59" i="52"/>
  <c r="H59" i="52"/>
  <c r="G59" i="52"/>
  <c r="F59" i="52"/>
  <c r="E59" i="52"/>
  <c r="D59" i="52"/>
  <c r="C59" i="52"/>
  <c r="B59" i="52"/>
  <c r="C71" i="51"/>
  <c r="D71" i="51"/>
  <c r="E71" i="51"/>
  <c r="F71" i="51"/>
  <c r="G71" i="51"/>
  <c r="H71" i="51"/>
  <c r="I71" i="51"/>
  <c r="J71" i="51"/>
  <c r="K71" i="51"/>
  <c r="L71" i="51"/>
  <c r="M71" i="51"/>
  <c r="N71" i="51"/>
  <c r="C72" i="51"/>
  <c r="D72" i="51"/>
  <c r="E72" i="51"/>
  <c r="F72" i="51"/>
  <c r="G72" i="51"/>
  <c r="H72" i="51"/>
  <c r="I72" i="51"/>
  <c r="J72" i="51"/>
  <c r="K72" i="51"/>
  <c r="L72" i="51"/>
  <c r="M72" i="51"/>
  <c r="N72" i="51"/>
  <c r="B71" i="51"/>
  <c r="B72" i="51"/>
  <c r="N69" i="51"/>
  <c r="M69" i="51"/>
  <c r="L69" i="51"/>
  <c r="K69" i="51"/>
  <c r="J69" i="51"/>
  <c r="I69" i="51"/>
  <c r="H69" i="51"/>
  <c r="G69" i="51"/>
  <c r="F69" i="51"/>
  <c r="E69" i="51"/>
  <c r="D69" i="51"/>
  <c r="C69" i="51"/>
  <c r="B69" i="51"/>
  <c r="N68" i="51"/>
  <c r="M68" i="51"/>
  <c r="L68" i="51"/>
  <c r="K68" i="51"/>
  <c r="J68" i="51"/>
  <c r="I68" i="51"/>
  <c r="H68" i="51"/>
  <c r="G68" i="51"/>
  <c r="F68" i="51"/>
  <c r="E68" i="51"/>
  <c r="D68" i="51"/>
  <c r="C68" i="51"/>
  <c r="B68" i="51"/>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D69" i="36"/>
  <c r="C69" i="36"/>
  <c r="B69" i="36"/>
  <c r="AC68" i="36"/>
  <c r="AB68" i="36"/>
  <c r="AA68" i="36"/>
  <c r="Z68" i="36"/>
  <c r="Y68" i="36"/>
  <c r="X68" i="36"/>
  <c r="W68" i="36"/>
  <c r="V68" i="36"/>
  <c r="U68" i="36"/>
  <c r="T68" i="36"/>
  <c r="S68" i="36"/>
  <c r="R68" i="36"/>
  <c r="Q68" i="36"/>
  <c r="P68" i="36"/>
  <c r="O68" i="36"/>
  <c r="N68" i="36"/>
  <c r="M68" i="36"/>
  <c r="L68" i="36"/>
  <c r="K68" i="36"/>
  <c r="J68" i="36"/>
  <c r="I68" i="36"/>
  <c r="H68" i="36"/>
  <c r="G68" i="36"/>
  <c r="F68" i="36"/>
  <c r="E68" i="36"/>
  <c r="D68" i="36"/>
  <c r="C68" i="36"/>
  <c r="B68" i="36"/>
  <c r="AC69" i="49"/>
  <c r="AB69" i="49"/>
  <c r="AA69" i="49"/>
  <c r="Z69" i="49"/>
  <c r="Y69" i="49"/>
  <c r="X69" i="49"/>
  <c r="W69" i="49"/>
  <c r="V69" i="49"/>
  <c r="U69" i="49"/>
  <c r="T69" i="49"/>
  <c r="S69" i="49"/>
  <c r="R69" i="49"/>
  <c r="Q69" i="49"/>
  <c r="P69" i="49"/>
  <c r="O69" i="49"/>
  <c r="N69" i="49"/>
  <c r="M69" i="49"/>
  <c r="L69" i="49"/>
  <c r="K69" i="49"/>
  <c r="J69" i="49"/>
  <c r="I69" i="49"/>
  <c r="H69" i="49"/>
  <c r="G69" i="49"/>
  <c r="F69" i="49"/>
  <c r="E69" i="49"/>
  <c r="D69" i="49"/>
  <c r="C69" i="49"/>
  <c r="B69" i="49"/>
  <c r="AC68" i="49"/>
  <c r="AB68" i="49"/>
  <c r="AA68" i="49"/>
  <c r="Z68" i="49"/>
  <c r="Y68" i="49"/>
  <c r="X68" i="49"/>
  <c r="W68" i="49"/>
  <c r="V68" i="49"/>
  <c r="U68" i="49"/>
  <c r="T68" i="49"/>
  <c r="S68" i="49"/>
  <c r="R68" i="49"/>
  <c r="Q68" i="49"/>
  <c r="P68" i="49"/>
  <c r="O68" i="49"/>
  <c r="N68" i="49"/>
  <c r="M68" i="49"/>
  <c r="L68" i="49"/>
  <c r="K68" i="49"/>
  <c r="J68" i="49"/>
  <c r="I68" i="49"/>
  <c r="H68" i="49"/>
  <c r="G68" i="49"/>
  <c r="F68" i="49"/>
  <c r="E68" i="49"/>
  <c r="D68" i="49"/>
  <c r="C68" i="49"/>
  <c r="B68" i="49"/>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B69" i="34"/>
  <c r="AC68" i="34"/>
  <c r="AB68" i="34"/>
  <c r="AA68" i="34"/>
  <c r="Z68" i="34"/>
  <c r="Y68" i="34"/>
  <c r="X68" i="34"/>
  <c r="W68" i="34"/>
  <c r="V68" i="34"/>
  <c r="U68" i="34"/>
  <c r="T68" i="34"/>
  <c r="S68" i="34"/>
  <c r="R68" i="34"/>
  <c r="Q68" i="34"/>
  <c r="P68" i="34"/>
  <c r="O68" i="34"/>
  <c r="N68" i="34"/>
  <c r="M68" i="34"/>
  <c r="L68" i="34"/>
  <c r="K68" i="34"/>
  <c r="J68" i="34"/>
  <c r="I68" i="34"/>
  <c r="H68" i="34"/>
  <c r="G68" i="34"/>
  <c r="F68" i="34"/>
  <c r="E68" i="34"/>
  <c r="D68" i="34"/>
  <c r="C68" i="34"/>
  <c r="B68" i="34"/>
  <c r="AC69" i="32"/>
  <c r="AB69" i="32"/>
  <c r="AA69" i="32"/>
  <c r="Z69" i="32"/>
  <c r="Y69" i="32"/>
  <c r="X69" i="32"/>
  <c r="W69" i="32"/>
  <c r="V69" i="32"/>
  <c r="U69" i="32"/>
  <c r="T69" i="32"/>
  <c r="S69" i="32"/>
  <c r="R69" i="32"/>
  <c r="Q69" i="32"/>
  <c r="P69" i="32"/>
  <c r="O69" i="32"/>
  <c r="N69" i="32"/>
  <c r="M69" i="32"/>
  <c r="L69" i="32"/>
  <c r="K69" i="32"/>
  <c r="J69" i="32"/>
  <c r="I69" i="32"/>
  <c r="H69" i="32"/>
  <c r="G69" i="32"/>
  <c r="F69" i="32"/>
  <c r="E69" i="32"/>
  <c r="D69" i="32"/>
  <c r="C69" i="32"/>
  <c r="B69" i="32"/>
  <c r="AC68" i="32"/>
  <c r="AB68" i="32"/>
  <c r="AA68" i="32"/>
  <c r="Z68" i="32"/>
  <c r="Y68" i="32"/>
  <c r="X68" i="32"/>
  <c r="W68" i="32"/>
  <c r="V68" i="32"/>
  <c r="U68" i="32"/>
  <c r="T68" i="32"/>
  <c r="S68" i="32"/>
  <c r="R68" i="32"/>
  <c r="Q68" i="32"/>
  <c r="P68" i="32"/>
  <c r="O68" i="32"/>
  <c r="N68" i="32"/>
  <c r="M68" i="32"/>
  <c r="L68" i="32"/>
  <c r="K68" i="32"/>
  <c r="J68" i="32"/>
  <c r="I68" i="32"/>
  <c r="H68" i="32"/>
  <c r="G68" i="32"/>
  <c r="F68" i="32"/>
  <c r="E68" i="32"/>
  <c r="D68" i="32"/>
  <c r="C68" i="32"/>
  <c r="B68" i="32"/>
  <c r="AC69" i="48"/>
  <c r="AB69" i="48"/>
  <c r="AA69" i="48"/>
  <c r="Z69" i="48"/>
  <c r="Y69" i="48"/>
  <c r="X69" i="48"/>
  <c r="W69" i="48"/>
  <c r="V69" i="48"/>
  <c r="U69" i="48"/>
  <c r="T69" i="48"/>
  <c r="S69" i="48"/>
  <c r="R69" i="48"/>
  <c r="Q69" i="48"/>
  <c r="P69" i="48"/>
  <c r="O69" i="48"/>
  <c r="N69" i="48"/>
  <c r="M69" i="48"/>
  <c r="L69" i="48"/>
  <c r="K69" i="48"/>
  <c r="J69" i="48"/>
  <c r="I69" i="48"/>
  <c r="H69" i="48"/>
  <c r="G69" i="48"/>
  <c r="F69" i="48"/>
  <c r="E69" i="48"/>
  <c r="D69" i="48"/>
  <c r="C69" i="48"/>
  <c r="B69" i="48"/>
  <c r="AC68" i="48"/>
  <c r="AB68" i="48"/>
  <c r="AA68" i="48"/>
  <c r="Z68" i="48"/>
  <c r="Y68" i="48"/>
  <c r="X68" i="48"/>
  <c r="W68" i="48"/>
  <c r="V68" i="48"/>
  <c r="U68" i="48"/>
  <c r="T68" i="48"/>
  <c r="S68" i="48"/>
  <c r="R68" i="48"/>
  <c r="Q68" i="48"/>
  <c r="P68" i="48"/>
  <c r="O68" i="48"/>
  <c r="N68" i="48"/>
  <c r="M68" i="48"/>
  <c r="L68" i="48"/>
  <c r="K68" i="48"/>
  <c r="J68" i="48"/>
  <c r="I68" i="48"/>
  <c r="H68" i="48"/>
  <c r="G68" i="48"/>
  <c r="F68" i="48"/>
  <c r="E68" i="48"/>
  <c r="D68" i="48"/>
  <c r="C68" i="48"/>
  <c r="B68" i="48"/>
  <c r="N74" i="51"/>
  <c r="M74" i="51"/>
  <c r="L74" i="51"/>
  <c r="K74" i="51"/>
  <c r="J74" i="51"/>
  <c r="I74" i="51"/>
  <c r="H74" i="51"/>
  <c r="G74" i="51"/>
  <c r="F74" i="51"/>
  <c r="E74" i="51"/>
  <c r="D74" i="51"/>
  <c r="C74" i="51"/>
  <c r="B74" i="51"/>
  <c r="N73" i="51"/>
  <c r="M73" i="51"/>
  <c r="L73" i="51"/>
  <c r="K73" i="51"/>
  <c r="J73" i="51"/>
  <c r="I73" i="51"/>
  <c r="H73" i="51"/>
  <c r="G73" i="51"/>
  <c r="F73" i="51"/>
  <c r="E73" i="51"/>
  <c r="D73" i="51"/>
  <c r="C73" i="51"/>
  <c r="B73" i="51"/>
  <c r="AC74" i="36"/>
  <c r="AB74" i="36"/>
  <c r="AA74" i="36"/>
  <c r="Z74" i="36"/>
  <c r="Y74" i="36"/>
  <c r="X74" i="36"/>
  <c r="W74" i="36"/>
  <c r="V74" i="36"/>
  <c r="U74" i="36"/>
  <c r="T74" i="36"/>
  <c r="S74" i="36"/>
  <c r="R74" i="36"/>
  <c r="Q74" i="36"/>
  <c r="P74" i="36"/>
  <c r="O74" i="36"/>
  <c r="N74" i="36"/>
  <c r="M74" i="36"/>
  <c r="L74" i="36"/>
  <c r="K74" i="36"/>
  <c r="J74" i="36"/>
  <c r="I74" i="36"/>
  <c r="H74" i="36"/>
  <c r="G74" i="36"/>
  <c r="F74" i="36"/>
  <c r="E74" i="36"/>
  <c r="D74" i="36"/>
  <c r="C74" i="36"/>
  <c r="B74" i="36"/>
  <c r="AB73" i="36"/>
  <c r="AA73" i="36"/>
  <c r="Z73" i="36"/>
  <c r="Y73" i="36"/>
  <c r="X73" i="36"/>
  <c r="W73" i="36"/>
  <c r="V73" i="36"/>
  <c r="U73" i="36"/>
  <c r="T73" i="36"/>
  <c r="S73" i="36"/>
  <c r="R73" i="36"/>
  <c r="Q73" i="36"/>
  <c r="P73" i="36"/>
  <c r="O73" i="36"/>
  <c r="N73" i="36"/>
  <c r="M73" i="36"/>
  <c r="L73" i="36"/>
  <c r="K73" i="36"/>
  <c r="J73" i="36"/>
  <c r="I73" i="36"/>
  <c r="H73" i="36"/>
  <c r="G73" i="36"/>
  <c r="F73" i="36"/>
  <c r="E73" i="36"/>
  <c r="D73" i="36"/>
  <c r="C73" i="36"/>
  <c r="B73" i="36"/>
  <c r="AC74" i="49"/>
  <c r="AB74" i="49"/>
  <c r="AA74" i="49"/>
  <c r="Z74" i="49"/>
  <c r="Y74" i="49"/>
  <c r="X74" i="49"/>
  <c r="W74" i="49"/>
  <c r="V74" i="49"/>
  <c r="U74" i="49"/>
  <c r="T74" i="49"/>
  <c r="S74" i="49"/>
  <c r="R74" i="49"/>
  <c r="Q74" i="49"/>
  <c r="P74" i="49"/>
  <c r="O74" i="49"/>
  <c r="N74" i="49"/>
  <c r="M74" i="49"/>
  <c r="L74" i="49"/>
  <c r="K74" i="49"/>
  <c r="J74" i="49"/>
  <c r="I74" i="49"/>
  <c r="H74" i="49"/>
  <c r="G74" i="49"/>
  <c r="F74" i="49"/>
  <c r="E74" i="49"/>
  <c r="D74" i="49"/>
  <c r="C74" i="49"/>
  <c r="B74" i="49"/>
  <c r="AB73" i="49"/>
  <c r="AA73" i="49"/>
  <c r="Z73" i="49"/>
  <c r="Y73" i="49"/>
  <c r="X73" i="49"/>
  <c r="W73" i="49"/>
  <c r="V73" i="49"/>
  <c r="U73" i="49"/>
  <c r="T73" i="49"/>
  <c r="S73" i="49"/>
  <c r="R73" i="49"/>
  <c r="Q73" i="49"/>
  <c r="P73" i="49"/>
  <c r="O73" i="49"/>
  <c r="N73" i="49"/>
  <c r="M73" i="49"/>
  <c r="L73" i="49"/>
  <c r="K73" i="49"/>
  <c r="J73" i="49"/>
  <c r="I73" i="49"/>
  <c r="H73" i="49"/>
  <c r="G73" i="49"/>
  <c r="F73" i="49"/>
  <c r="E73" i="49"/>
  <c r="D73" i="49"/>
  <c r="C73" i="49"/>
  <c r="B73" i="49"/>
  <c r="AC74" i="34"/>
  <c r="AB74" i="34"/>
  <c r="AA74" i="34"/>
  <c r="Z74" i="34"/>
  <c r="Y74" i="34"/>
  <c r="X74" i="34"/>
  <c r="W74" i="34"/>
  <c r="V74" i="34"/>
  <c r="U74" i="34"/>
  <c r="T74" i="34"/>
  <c r="S74" i="34"/>
  <c r="R74" i="34"/>
  <c r="Q74" i="34"/>
  <c r="P74" i="34"/>
  <c r="O74" i="34"/>
  <c r="N74" i="34"/>
  <c r="M74" i="34"/>
  <c r="L74" i="34"/>
  <c r="K74" i="34"/>
  <c r="J74" i="34"/>
  <c r="I74" i="34"/>
  <c r="H74" i="34"/>
  <c r="G74" i="34"/>
  <c r="F74" i="34"/>
  <c r="E74" i="34"/>
  <c r="D74" i="34"/>
  <c r="C74" i="34"/>
  <c r="B74" i="34"/>
  <c r="AB73" i="34"/>
  <c r="AA73" i="34"/>
  <c r="Z73" i="34"/>
  <c r="Y73" i="34"/>
  <c r="X73" i="34"/>
  <c r="W73" i="34"/>
  <c r="V73" i="34"/>
  <c r="U73" i="34"/>
  <c r="T73" i="34"/>
  <c r="S73" i="34"/>
  <c r="R73" i="34"/>
  <c r="Q73" i="34"/>
  <c r="P73" i="34"/>
  <c r="O73" i="34"/>
  <c r="N73" i="34"/>
  <c r="M73" i="34"/>
  <c r="L73" i="34"/>
  <c r="K73" i="34"/>
  <c r="J73" i="34"/>
  <c r="I73" i="34"/>
  <c r="H73" i="34"/>
  <c r="G73" i="34"/>
  <c r="F73" i="34"/>
  <c r="E73" i="34"/>
  <c r="D73" i="34"/>
  <c r="C73" i="34"/>
  <c r="B73" i="34"/>
  <c r="AC74" i="32"/>
  <c r="AB74" i="32"/>
  <c r="AA74" i="32"/>
  <c r="Z74" i="32"/>
  <c r="Y74" i="32"/>
  <c r="X74" i="32"/>
  <c r="W74" i="32"/>
  <c r="V74" i="32"/>
  <c r="U74" i="32"/>
  <c r="T74" i="32"/>
  <c r="S74" i="32"/>
  <c r="R74" i="32"/>
  <c r="Q74" i="32"/>
  <c r="P74" i="32"/>
  <c r="O74" i="32"/>
  <c r="N74" i="32"/>
  <c r="M74" i="32"/>
  <c r="L74" i="32"/>
  <c r="K74" i="32"/>
  <c r="J74" i="32"/>
  <c r="I74" i="32"/>
  <c r="H74" i="32"/>
  <c r="G74" i="32"/>
  <c r="F74" i="32"/>
  <c r="E74" i="32"/>
  <c r="D74" i="32"/>
  <c r="C74" i="32"/>
  <c r="B74" i="32"/>
  <c r="AB73" i="32"/>
  <c r="AA73" i="32"/>
  <c r="Z73" i="32"/>
  <c r="Y73" i="32"/>
  <c r="X73" i="32"/>
  <c r="W73" i="32"/>
  <c r="V73" i="32"/>
  <c r="U73" i="32"/>
  <c r="T73" i="32"/>
  <c r="S73" i="32"/>
  <c r="R73" i="32"/>
  <c r="Q73" i="32"/>
  <c r="P73" i="32"/>
  <c r="O73" i="32"/>
  <c r="N73" i="32"/>
  <c r="M73" i="32"/>
  <c r="L73" i="32"/>
  <c r="K73" i="32"/>
  <c r="J73" i="32"/>
  <c r="I73" i="32"/>
  <c r="H73" i="32"/>
  <c r="G73" i="32"/>
  <c r="F73" i="32"/>
  <c r="E73" i="32"/>
  <c r="D73" i="32"/>
  <c r="C73" i="32"/>
  <c r="B73" i="32"/>
  <c r="AC74" i="48"/>
  <c r="AB74" i="48"/>
  <c r="AA74" i="48"/>
  <c r="Z74" i="48"/>
  <c r="Y74" i="48"/>
  <c r="X74" i="48"/>
  <c r="W74" i="48"/>
  <c r="V74" i="48"/>
  <c r="U74" i="48"/>
  <c r="T74" i="48"/>
  <c r="S74" i="48"/>
  <c r="R74" i="48"/>
  <c r="Q74" i="48"/>
  <c r="P74" i="48"/>
  <c r="O74" i="48"/>
  <c r="N74" i="48"/>
  <c r="M74" i="48"/>
  <c r="L74" i="48"/>
  <c r="K74" i="48"/>
  <c r="J74" i="48"/>
  <c r="I74" i="48"/>
  <c r="H74" i="48"/>
  <c r="G74" i="48"/>
  <c r="F74" i="48"/>
  <c r="E74" i="48"/>
  <c r="D74" i="48"/>
  <c r="C74" i="48"/>
  <c r="B74" i="48"/>
  <c r="AB73" i="48"/>
  <c r="AA73" i="48"/>
  <c r="Z73" i="48"/>
  <c r="Y73" i="48"/>
  <c r="X73" i="48"/>
  <c r="W73" i="48"/>
  <c r="V73" i="48"/>
  <c r="U73" i="48"/>
  <c r="T73" i="48"/>
  <c r="S73" i="48"/>
  <c r="R73" i="48"/>
  <c r="Q73" i="48"/>
  <c r="P73" i="48"/>
  <c r="O73" i="48"/>
  <c r="N73" i="48"/>
  <c r="M73" i="48"/>
  <c r="L73" i="48"/>
  <c r="K73" i="48"/>
  <c r="J73" i="48"/>
  <c r="I73" i="48"/>
  <c r="H73" i="48"/>
  <c r="G73" i="48"/>
  <c r="F73" i="48"/>
  <c r="E73" i="48"/>
  <c r="D73" i="48"/>
  <c r="C73" i="48"/>
  <c r="B73" i="48"/>
  <c r="AC74" i="47"/>
  <c r="AB74" i="47"/>
  <c r="AA74" i="47"/>
  <c r="Z74" i="47"/>
  <c r="Y74" i="47"/>
  <c r="X74" i="47"/>
  <c r="W74" i="47"/>
  <c r="V74" i="47"/>
  <c r="U74" i="47"/>
  <c r="T74" i="47"/>
  <c r="S74" i="47"/>
  <c r="R74" i="47"/>
  <c r="Q74" i="47"/>
  <c r="P74" i="47"/>
  <c r="O74" i="47"/>
  <c r="N74" i="47"/>
  <c r="M74" i="47"/>
  <c r="L74" i="47"/>
  <c r="K74" i="47"/>
  <c r="J74" i="47"/>
  <c r="I74" i="47"/>
  <c r="H74" i="47"/>
  <c r="G74" i="47"/>
  <c r="F74" i="47"/>
  <c r="E74" i="47"/>
  <c r="D74" i="47"/>
  <c r="C74" i="47"/>
  <c r="B74" i="47"/>
  <c r="AB73" i="47"/>
  <c r="AA73" i="47"/>
  <c r="Z73" i="47"/>
  <c r="Y73" i="47"/>
  <c r="X73" i="47"/>
  <c r="W73" i="47"/>
  <c r="V73" i="47"/>
  <c r="U73" i="47"/>
  <c r="T73" i="47"/>
  <c r="S73" i="47"/>
  <c r="R73" i="47"/>
  <c r="Q73" i="47"/>
  <c r="P73" i="47"/>
  <c r="O73" i="47"/>
  <c r="N73" i="47"/>
  <c r="M73" i="47"/>
  <c r="L73" i="47"/>
  <c r="K73" i="47"/>
  <c r="J73" i="47"/>
  <c r="I73" i="47"/>
  <c r="H73" i="47"/>
  <c r="G73" i="47"/>
  <c r="F73" i="47"/>
  <c r="E73" i="47"/>
  <c r="D73" i="47"/>
  <c r="C73" i="47"/>
  <c r="B73" i="47"/>
  <c r="AC69" i="47"/>
  <c r="AB69" i="47"/>
  <c r="AA69" i="47"/>
  <c r="Z69" i="47"/>
  <c r="Y69" i="47"/>
  <c r="X69" i="47"/>
  <c r="W69" i="47"/>
  <c r="V69" i="47"/>
  <c r="U69" i="47"/>
  <c r="T69" i="47"/>
  <c r="S69" i="47"/>
  <c r="R69" i="47"/>
  <c r="Q69" i="47"/>
  <c r="P69" i="47"/>
  <c r="O69" i="47"/>
  <c r="N69" i="47"/>
  <c r="M69" i="47"/>
  <c r="L69" i="47"/>
  <c r="K69" i="47"/>
  <c r="J69" i="47"/>
  <c r="I69" i="47"/>
  <c r="H69" i="47"/>
  <c r="G69" i="47"/>
  <c r="F69" i="47"/>
  <c r="E69" i="47"/>
  <c r="D69" i="47"/>
  <c r="C69" i="47"/>
  <c r="B69" i="47"/>
  <c r="AC68" i="47"/>
  <c r="AB68" i="47"/>
  <c r="AA68" i="47"/>
  <c r="Z68" i="47"/>
  <c r="Y68" i="47"/>
  <c r="X68" i="47"/>
  <c r="W68" i="47"/>
  <c r="V68" i="47"/>
  <c r="U68" i="47"/>
  <c r="T68" i="47"/>
  <c r="S68" i="47"/>
  <c r="R68" i="47"/>
  <c r="Q68" i="47"/>
  <c r="P68" i="47"/>
  <c r="O68" i="47"/>
  <c r="N68" i="47"/>
  <c r="M68" i="47"/>
  <c r="L68" i="47"/>
  <c r="K68" i="47"/>
  <c r="J68" i="47"/>
  <c r="I68" i="47"/>
  <c r="H68" i="47"/>
  <c r="G68" i="47"/>
  <c r="F68" i="47"/>
  <c r="E68" i="47"/>
  <c r="D68" i="47"/>
  <c r="C68" i="47"/>
  <c r="B68" i="47"/>
  <c r="AC74" i="31"/>
  <c r="C73" i="31"/>
  <c r="D73" i="31"/>
  <c r="E73" i="31"/>
  <c r="F73" i="31"/>
  <c r="G73" i="31"/>
  <c r="H73" i="31"/>
  <c r="I73" i="31"/>
  <c r="J73" i="31"/>
  <c r="K73" i="31"/>
  <c r="L73" i="31"/>
  <c r="M73" i="31"/>
  <c r="N73" i="31"/>
  <c r="O73" i="31"/>
  <c r="P73" i="31"/>
  <c r="Q73" i="31"/>
  <c r="R73" i="31"/>
  <c r="S73" i="31"/>
  <c r="T73" i="31"/>
  <c r="U73" i="31"/>
  <c r="V73" i="31"/>
  <c r="W73" i="31"/>
  <c r="X73" i="31"/>
  <c r="Y73" i="31"/>
  <c r="Z73" i="31"/>
  <c r="AA73" i="31"/>
  <c r="AB73" i="31"/>
  <c r="C74" i="31"/>
  <c r="D74" i="31"/>
  <c r="E74" i="31"/>
  <c r="F74" i="31"/>
  <c r="G74" i="31"/>
  <c r="H74" i="31"/>
  <c r="I74" i="31"/>
  <c r="J74" i="31"/>
  <c r="K74" i="31"/>
  <c r="L74" i="31"/>
  <c r="M74" i="31"/>
  <c r="N74" i="31"/>
  <c r="O74" i="31"/>
  <c r="P74" i="31"/>
  <c r="Q74" i="31"/>
  <c r="R74" i="31"/>
  <c r="S74" i="31"/>
  <c r="T74" i="31"/>
  <c r="U74" i="31"/>
  <c r="V74" i="31"/>
  <c r="W74" i="31"/>
  <c r="X74" i="31"/>
  <c r="Y74" i="31"/>
  <c r="Z74" i="31"/>
  <c r="AA74" i="31"/>
  <c r="AB74" i="31"/>
  <c r="C72" i="31"/>
  <c r="D72" i="31"/>
  <c r="E72" i="31"/>
  <c r="F72" i="31"/>
  <c r="G72" i="31"/>
  <c r="H72" i="31"/>
  <c r="I72" i="31"/>
  <c r="J72" i="31"/>
  <c r="K72" i="31"/>
  <c r="L72" i="31"/>
  <c r="M72" i="31"/>
  <c r="N72" i="31"/>
  <c r="O72" i="31"/>
  <c r="P72" i="31"/>
  <c r="Q72" i="31"/>
  <c r="R72" i="31"/>
  <c r="S72" i="31"/>
  <c r="T72" i="31"/>
  <c r="U72" i="31"/>
  <c r="V72" i="31"/>
  <c r="W72" i="31"/>
  <c r="X72" i="31"/>
  <c r="Y72" i="31"/>
  <c r="Z72" i="31"/>
  <c r="AA72" i="31"/>
  <c r="AB72" i="31"/>
  <c r="B73" i="31"/>
  <c r="B74" i="31"/>
  <c r="C68" i="31"/>
  <c r="D68" i="31"/>
  <c r="E68" i="31"/>
  <c r="F68" i="31"/>
  <c r="G68" i="31"/>
  <c r="H68" i="31"/>
  <c r="I68" i="31"/>
  <c r="J68" i="31"/>
  <c r="K68" i="31"/>
  <c r="L68" i="31"/>
  <c r="M68" i="31"/>
  <c r="N68" i="31"/>
  <c r="O68" i="31"/>
  <c r="P68" i="31"/>
  <c r="Q68" i="31"/>
  <c r="R68" i="31"/>
  <c r="S68" i="31"/>
  <c r="T68" i="31"/>
  <c r="U68" i="31"/>
  <c r="V68" i="31"/>
  <c r="W68" i="31"/>
  <c r="X68" i="31"/>
  <c r="Y68" i="31"/>
  <c r="Z68" i="31"/>
  <c r="AA68" i="31"/>
  <c r="AB68" i="31"/>
  <c r="AC68" i="31"/>
  <c r="C69" i="31"/>
  <c r="D69" i="31"/>
  <c r="E69" i="31"/>
  <c r="F69" i="31"/>
  <c r="G69" i="31"/>
  <c r="H69" i="31"/>
  <c r="I69" i="31"/>
  <c r="J69" i="31"/>
  <c r="K69" i="31"/>
  <c r="L69" i="31"/>
  <c r="M69" i="31"/>
  <c r="N69" i="31"/>
  <c r="O69" i="31"/>
  <c r="P69" i="31"/>
  <c r="Q69" i="31"/>
  <c r="R69" i="31"/>
  <c r="S69" i="31"/>
  <c r="T69" i="31"/>
  <c r="U69" i="31"/>
  <c r="V69" i="31"/>
  <c r="W69" i="31"/>
  <c r="X69" i="31"/>
  <c r="Y69" i="31"/>
  <c r="Z69" i="31"/>
  <c r="AA69" i="31"/>
  <c r="AB69" i="31"/>
  <c r="AC69" i="31"/>
  <c r="B68" i="31"/>
  <c r="B69" i="31"/>
  <c r="A60" i="37"/>
  <c r="A61" i="37"/>
  <c r="A62" i="37"/>
  <c r="A63" i="37"/>
  <c r="A64" i="37"/>
  <c r="A65" i="37"/>
  <c r="A66" i="37"/>
  <c r="A67" i="37"/>
  <c r="A68" i="37"/>
  <c r="A69" i="37"/>
  <c r="A70" i="37"/>
  <c r="A71" i="37"/>
  <c r="A72" i="37"/>
  <c r="A73" i="37"/>
  <c r="A74" i="37"/>
  <c r="A59" i="37"/>
  <c r="A60" i="51"/>
  <c r="A61" i="51"/>
  <c r="A62" i="51"/>
  <c r="A63" i="51"/>
  <c r="A64" i="51"/>
  <c r="A65" i="51"/>
  <c r="A66" i="51"/>
  <c r="A67" i="51"/>
  <c r="A68" i="51"/>
  <c r="A69" i="51"/>
  <c r="A70" i="51"/>
  <c r="A71" i="51"/>
  <c r="A72" i="51"/>
  <c r="A73" i="51"/>
  <c r="A74" i="51"/>
  <c r="A59" i="51"/>
  <c r="A60" i="52"/>
  <c r="A61" i="52"/>
  <c r="A62" i="52"/>
  <c r="A63" i="52"/>
  <c r="A64" i="52"/>
  <c r="A65" i="52"/>
  <c r="A66" i="52"/>
  <c r="A67" i="52"/>
  <c r="A68" i="52"/>
  <c r="A69" i="52"/>
  <c r="A70" i="52"/>
  <c r="A71" i="52"/>
  <c r="A72" i="52"/>
  <c r="A73" i="52"/>
  <c r="A74" i="52"/>
  <c r="A59" i="52"/>
  <c r="A60" i="36"/>
  <c r="A61" i="36"/>
  <c r="A62" i="36"/>
  <c r="A63" i="36"/>
  <c r="A64" i="36"/>
  <c r="A65" i="36"/>
  <c r="A66" i="36"/>
  <c r="A67" i="36"/>
  <c r="A68" i="36"/>
  <c r="A69" i="36"/>
  <c r="A70" i="36"/>
  <c r="A71" i="36"/>
  <c r="A72" i="36"/>
  <c r="A73" i="36"/>
  <c r="A74" i="36"/>
  <c r="A59" i="36"/>
  <c r="A60" i="49"/>
  <c r="A61" i="49"/>
  <c r="A62" i="49"/>
  <c r="A63" i="49"/>
  <c r="A64" i="49"/>
  <c r="A65" i="49"/>
  <c r="A66" i="49"/>
  <c r="A67" i="49"/>
  <c r="A68" i="49"/>
  <c r="A69" i="49"/>
  <c r="A70" i="49"/>
  <c r="A71" i="49"/>
  <c r="A72" i="49"/>
  <c r="A73" i="49"/>
  <c r="A74" i="49"/>
  <c r="A59" i="49"/>
  <c r="A60" i="34"/>
  <c r="A61" i="34"/>
  <c r="A62" i="34"/>
  <c r="A63" i="34"/>
  <c r="A64" i="34"/>
  <c r="A65" i="34"/>
  <c r="A66" i="34"/>
  <c r="A67" i="34"/>
  <c r="A68" i="34"/>
  <c r="A69" i="34"/>
  <c r="A70" i="34"/>
  <c r="A71" i="34"/>
  <c r="A72" i="34"/>
  <c r="A73" i="34"/>
  <c r="A74" i="34"/>
  <c r="A59" i="34"/>
  <c r="B67" i="32"/>
  <c r="A60" i="32"/>
  <c r="A61" i="32"/>
  <c r="A62" i="32"/>
  <c r="A63" i="32"/>
  <c r="A64" i="32"/>
  <c r="A65" i="32"/>
  <c r="A66" i="32"/>
  <c r="A67" i="32"/>
  <c r="A68" i="32"/>
  <c r="A69" i="32"/>
  <c r="A70" i="32"/>
  <c r="A71" i="32"/>
  <c r="A72" i="32"/>
  <c r="A73" i="32"/>
  <c r="A74" i="32"/>
  <c r="A59" i="32"/>
  <c r="A60" i="48"/>
  <c r="A61" i="48"/>
  <c r="A62" i="48"/>
  <c r="A63" i="48"/>
  <c r="A64" i="48"/>
  <c r="A65" i="48"/>
  <c r="A66" i="48"/>
  <c r="A67" i="48"/>
  <c r="A68" i="48"/>
  <c r="A69" i="48"/>
  <c r="A70" i="48"/>
  <c r="A71" i="48"/>
  <c r="A72" i="48"/>
  <c r="A73" i="48"/>
  <c r="A74" i="48"/>
  <c r="A59" i="48"/>
  <c r="A74" i="47"/>
  <c r="A73" i="47"/>
  <c r="A72" i="47"/>
  <c r="A71" i="47"/>
  <c r="A69" i="47"/>
  <c r="A70" i="47"/>
  <c r="A68" i="47"/>
  <c r="A60" i="47"/>
  <c r="A61" i="47"/>
  <c r="A62" i="47"/>
  <c r="A63" i="47"/>
  <c r="A64" i="47"/>
  <c r="A65" i="47"/>
  <c r="A66" i="47"/>
  <c r="A67" i="47"/>
  <c r="A59" i="47"/>
  <c r="A74" i="31"/>
  <c r="A73" i="31"/>
  <c r="A70" i="31"/>
  <c r="A71" i="31"/>
  <c r="A72" i="31"/>
  <c r="A68" i="31"/>
  <c r="A69" i="31"/>
  <c r="A60" i="31"/>
  <c r="A61" i="31"/>
  <c r="A62" i="31"/>
  <c r="A63" i="31"/>
  <c r="A64" i="31"/>
  <c r="A65" i="31"/>
  <c r="A66" i="31"/>
  <c r="A67" i="31"/>
  <c r="A59" i="31"/>
  <c r="E30" i="31"/>
  <c r="J30" i="31"/>
  <c r="K30" i="31"/>
  <c r="L30" i="31"/>
  <c r="M30" i="31"/>
  <c r="P30" i="31"/>
  <c r="Q30" i="31"/>
  <c r="R30" i="31"/>
  <c r="S30" i="31"/>
  <c r="T30" i="31"/>
  <c r="U30" i="31"/>
  <c r="V30" i="31"/>
  <c r="W30" i="31"/>
  <c r="X30" i="31"/>
  <c r="B35" i="31"/>
  <c r="C35" i="31"/>
  <c r="E36" i="31"/>
  <c r="E34" i="31" s="1"/>
  <c r="E37" i="31" s="1"/>
  <c r="M36" i="31"/>
  <c r="M34" i="31" s="1"/>
  <c r="M37" i="31" s="1"/>
  <c r="O36" i="31"/>
  <c r="O34" i="31" s="1"/>
  <c r="O37" i="31" s="1"/>
  <c r="AC36" i="31"/>
  <c r="AC34" i="31" s="1"/>
  <c r="AC37" i="31" s="1"/>
  <c r="G35" i="31"/>
  <c r="O35" i="31"/>
  <c r="E35" i="31"/>
  <c r="C36" i="31"/>
  <c r="C34" i="31" s="1"/>
  <c r="C37" i="31" s="1"/>
  <c r="K36" i="31"/>
  <c r="K34" i="31" s="1"/>
  <c r="K37" i="31" s="1"/>
  <c r="Q36" i="31"/>
  <c r="Q34" i="31" s="1"/>
  <c r="Q37" i="31" s="1"/>
  <c r="T36" i="31"/>
  <c r="T34" i="31" s="1"/>
  <c r="T37" i="31" s="1"/>
  <c r="AA36" i="31"/>
  <c r="AA34" i="31" s="1"/>
  <c r="AA37" i="31" s="1"/>
  <c r="I35" i="31"/>
  <c r="Y35" i="31"/>
  <c r="M35" i="31"/>
  <c r="AC35" i="31"/>
  <c r="AB35" i="31"/>
  <c r="AA35" i="31"/>
  <c r="K35" i="31"/>
  <c r="Z35" i="31"/>
  <c r="L35" i="31"/>
  <c r="H35" i="31"/>
  <c r="N35" i="31"/>
  <c r="J35" i="31"/>
  <c r="F35" i="31"/>
  <c r="P35" i="31"/>
  <c r="D35" i="31"/>
  <c r="AB36" i="31"/>
  <c r="AB34" i="31" s="1"/>
  <c r="AB37" i="31" s="1"/>
  <c r="P36" i="31"/>
  <c r="P34" i="31" s="1"/>
  <c r="P37" i="31" s="1"/>
  <c r="L36" i="31"/>
  <c r="L34" i="31" s="1"/>
  <c r="L37" i="31" s="1"/>
  <c r="D36" i="31"/>
  <c r="D34" i="31" s="1"/>
  <c r="D37" i="31" s="1"/>
  <c r="N30" i="37"/>
  <c r="M30" i="37"/>
  <c r="L30" i="37"/>
  <c r="K30" i="37"/>
  <c r="J30" i="37"/>
  <c r="I30" i="37"/>
  <c r="H30" i="37"/>
  <c r="G30" i="37"/>
  <c r="F30" i="37"/>
  <c r="E30" i="37"/>
  <c r="D30" i="37"/>
  <c r="C30" i="37"/>
  <c r="B30" i="37"/>
  <c r="N26" i="37"/>
  <c r="M26" i="37"/>
  <c r="L26" i="37"/>
  <c r="K26" i="37"/>
  <c r="J26" i="37"/>
  <c r="I26" i="37"/>
  <c r="H26" i="37"/>
  <c r="G26" i="37"/>
  <c r="F26" i="37"/>
  <c r="E26" i="37"/>
  <c r="D26" i="37"/>
  <c r="C26" i="37"/>
  <c r="B26" i="37"/>
  <c r="N24" i="37"/>
  <c r="M24" i="37"/>
  <c r="L24" i="37"/>
  <c r="K24" i="37"/>
  <c r="J24" i="37"/>
  <c r="F24" i="37"/>
  <c r="E24" i="37"/>
  <c r="D24" i="37"/>
  <c r="N18" i="37"/>
  <c r="M18" i="37"/>
  <c r="L18" i="37"/>
  <c r="K18" i="37"/>
  <c r="J18" i="37"/>
  <c r="I18" i="37"/>
  <c r="H18" i="37"/>
  <c r="G18" i="37"/>
  <c r="F18" i="37"/>
  <c r="E18" i="37"/>
  <c r="D18" i="37"/>
  <c r="C18" i="37"/>
  <c r="B18" i="37"/>
  <c r="B11" i="37"/>
  <c r="N30" i="51"/>
  <c r="M30" i="51"/>
  <c r="L30" i="51"/>
  <c r="K30" i="51"/>
  <c r="J30" i="51"/>
  <c r="I30" i="51"/>
  <c r="H30" i="51"/>
  <c r="G30" i="51"/>
  <c r="F30" i="51"/>
  <c r="E30" i="51"/>
  <c r="D30" i="51"/>
  <c r="C30" i="51"/>
  <c r="B30" i="51"/>
  <c r="N26" i="51"/>
  <c r="M26" i="51"/>
  <c r="L26" i="51"/>
  <c r="K26" i="51"/>
  <c r="J26" i="51"/>
  <c r="I26" i="51"/>
  <c r="H26" i="51"/>
  <c r="G26" i="51"/>
  <c r="F26" i="51"/>
  <c r="E26" i="51"/>
  <c r="D26" i="51"/>
  <c r="C26" i="51"/>
  <c r="B26" i="51"/>
  <c r="N24" i="51"/>
  <c r="M24" i="51"/>
  <c r="L24" i="51"/>
  <c r="K24" i="51"/>
  <c r="J24" i="51"/>
  <c r="F24" i="51"/>
  <c r="E24" i="51"/>
  <c r="D24" i="51"/>
  <c r="N18" i="51"/>
  <c r="M18" i="51"/>
  <c r="L18" i="51"/>
  <c r="K18" i="51"/>
  <c r="J18" i="51"/>
  <c r="I18" i="51"/>
  <c r="H18" i="51"/>
  <c r="G18" i="51"/>
  <c r="F18" i="51"/>
  <c r="E18" i="51"/>
  <c r="D18" i="51"/>
  <c r="C18" i="51"/>
  <c r="B18" i="51"/>
  <c r="B11" i="51"/>
  <c r="N30" i="52"/>
  <c r="M30" i="52"/>
  <c r="L30" i="52"/>
  <c r="K30" i="52"/>
  <c r="J30" i="52"/>
  <c r="I30" i="52"/>
  <c r="H30" i="52"/>
  <c r="G30" i="52"/>
  <c r="F30" i="52"/>
  <c r="E30" i="52"/>
  <c r="D30" i="52"/>
  <c r="C30" i="52"/>
  <c r="B30" i="52"/>
  <c r="B11" i="52"/>
  <c r="B18" i="52"/>
  <c r="C18" i="52"/>
  <c r="D18" i="52"/>
  <c r="E18" i="52"/>
  <c r="F18" i="52"/>
  <c r="G18" i="52"/>
  <c r="H18" i="52"/>
  <c r="I18" i="52"/>
  <c r="J18" i="52"/>
  <c r="K18" i="52"/>
  <c r="L18" i="52"/>
  <c r="M18" i="52"/>
  <c r="N18" i="52"/>
  <c r="D24" i="52"/>
  <c r="E24" i="52"/>
  <c r="F24" i="52"/>
  <c r="J24" i="52"/>
  <c r="K24" i="52"/>
  <c r="L24" i="52"/>
  <c r="M24" i="52"/>
  <c r="N24" i="52"/>
  <c r="B26" i="52"/>
  <c r="C26" i="52"/>
  <c r="D26" i="52"/>
  <c r="E26" i="52"/>
  <c r="F26" i="52"/>
  <c r="G26" i="52"/>
  <c r="H26" i="52"/>
  <c r="I26" i="52"/>
  <c r="J26" i="52"/>
  <c r="K26" i="52"/>
  <c r="L26" i="52"/>
  <c r="M26" i="52"/>
  <c r="N26" i="52"/>
  <c r="X30" i="36"/>
  <c r="W30" i="36"/>
  <c r="V30" i="36"/>
  <c r="U30" i="36"/>
  <c r="T30" i="36"/>
  <c r="S30" i="36"/>
  <c r="R30" i="36"/>
  <c r="Q30" i="36"/>
  <c r="P30" i="36"/>
  <c r="M30" i="36"/>
  <c r="L30" i="36"/>
  <c r="K30" i="36"/>
  <c r="J30" i="36"/>
  <c r="E30" i="36"/>
  <c r="AC26" i="36"/>
  <c r="X26" i="36"/>
  <c r="W26" i="36"/>
  <c r="V26" i="36"/>
  <c r="U26" i="36"/>
  <c r="T26" i="36"/>
  <c r="S26" i="36"/>
  <c r="R26" i="36"/>
  <c r="Q26" i="36"/>
  <c r="P26" i="36"/>
  <c r="M26" i="36"/>
  <c r="L26" i="36"/>
  <c r="K26" i="36"/>
  <c r="J26" i="36"/>
  <c r="E26" i="36"/>
  <c r="AC24" i="36"/>
  <c r="AB24" i="36"/>
  <c r="AA24" i="36"/>
  <c r="Z24" i="36"/>
  <c r="Y24" i="36"/>
  <c r="X24" i="36"/>
  <c r="Q24" i="36"/>
  <c r="O24" i="36"/>
  <c r="N24" i="36"/>
  <c r="K24" i="36"/>
  <c r="I24" i="36"/>
  <c r="H24" i="36"/>
  <c r="G24" i="36"/>
  <c r="F24" i="36"/>
  <c r="E24" i="36"/>
  <c r="D24" i="36"/>
  <c r="C24" i="36"/>
  <c r="B24" i="36"/>
  <c r="B11" i="36"/>
  <c r="AB30" i="36" s="1"/>
  <c r="X30" i="49"/>
  <c r="W30" i="49"/>
  <c r="V30" i="49"/>
  <c r="U30" i="49"/>
  <c r="T30" i="49"/>
  <c r="S30" i="49"/>
  <c r="R30" i="49"/>
  <c r="Q30" i="49"/>
  <c r="P30" i="49"/>
  <c r="M30" i="49"/>
  <c r="L30" i="49"/>
  <c r="K30" i="49"/>
  <c r="J30" i="49"/>
  <c r="E30" i="49"/>
  <c r="AC26" i="49"/>
  <c r="X26" i="49"/>
  <c r="W26" i="49"/>
  <c r="V26" i="49"/>
  <c r="U26" i="49"/>
  <c r="T26" i="49"/>
  <c r="S26" i="49"/>
  <c r="R26" i="49"/>
  <c r="Q26" i="49"/>
  <c r="P26" i="49"/>
  <c r="M26" i="49"/>
  <c r="L26" i="49"/>
  <c r="K26" i="49"/>
  <c r="J26" i="49"/>
  <c r="E26" i="49"/>
  <c r="AC24" i="49"/>
  <c r="AB24" i="49"/>
  <c r="AA24" i="49"/>
  <c r="Z24" i="49"/>
  <c r="Y24" i="49"/>
  <c r="X24" i="49"/>
  <c r="Q24" i="49"/>
  <c r="O24" i="49"/>
  <c r="N24" i="49"/>
  <c r="K24" i="49"/>
  <c r="I24" i="49"/>
  <c r="H24" i="49"/>
  <c r="G24" i="49"/>
  <c r="F24" i="49"/>
  <c r="E24" i="49"/>
  <c r="D24" i="49"/>
  <c r="C24" i="49"/>
  <c r="B24" i="49"/>
  <c r="B11" i="49"/>
  <c r="X30" i="34"/>
  <c r="W30" i="34"/>
  <c r="V30" i="34"/>
  <c r="U30" i="34"/>
  <c r="T30" i="34"/>
  <c r="S30" i="34"/>
  <c r="R30" i="34"/>
  <c r="Q30" i="34"/>
  <c r="P30" i="34"/>
  <c r="M30" i="34"/>
  <c r="L30" i="34"/>
  <c r="K30" i="34"/>
  <c r="J30" i="34"/>
  <c r="E30" i="34"/>
  <c r="AC26" i="34"/>
  <c r="X26" i="34"/>
  <c r="W26" i="34"/>
  <c r="V26" i="34"/>
  <c r="U26" i="34"/>
  <c r="T26" i="34"/>
  <c r="S26" i="34"/>
  <c r="R26" i="34"/>
  <c r="Q26" i="34"/>
  <c r="P26" i="34"/>
  <c r="M26" i="34"/>
  <c r="L26" i="34"/>
  <c r="K26" i="34"/>
  <c r="J26" i="34"/>
  <c r="E26" i="34"/>
  <c r="AC24" i="34"/>
  <c r="AB24" i="34"/>
  <c r="AA24" i="34"/>
  <c r="Z24" i="34"/>
  <c r="Y24" i="34"/>
  <c r="X24" i="34"/>
  <c r="Q24" i="34"/>
  <c r="O24" i="34"/>
  <c r="N24" i="34"/>
  <c r="K24" i="34"/>
  <c r="I24" i="34"/>
  <c r="H24" i="34"/>
  <c r="G24" i="34"/>
  <c r="F24" i="34"/>
  <c r="E24" i="34"/>
  <c r="D24" i="34"/>
  <c r="C24" i="34"/>
  <c r="B24" i="34"/>
  <c r="B11" i="34"/>
  <c r="AB30" i="34" s="1"/>
  <c r="X30" i="32"/>
  <c r="W30" i="32"/>
  <c r="V30" i="32"/>
  <c r="U30" i="32"/>
  <c r="T30" i="32"/>
  <c r="S30" i="32"/>
  <c r="R30" i="32"/>
  <c r="Q30" i="32"/>
  <c r="P30" i="32"/>
  <c r="M30" i="32"/>
  <c r="L30" i="32"/>
  <c r="K30" i="32"/>
  <c r="J30" i="32"/>
  <c r="E30" i="32"/>
  <c r="AC26" i="32"/>
  <c r="X26" i="32"/>
  <c r="W26" i="32"/>
  <c r="V26" i="32"/>
  <c r="U26" i="32"/>
  <c r="T26" i="32"/>
  <c r="S26" i="32"/>
  <c r="R26" i="32"/>
  <c r="Q26" i="32"/>
  <c r="P26" i="32"/>
  <c r="M26" i="32"/>
  <c r="L26" i="32"/>
  <c r="K26" i="32"/>
  <c r="J26" i="32"/>
  <c r="E26" i="32"/>
  <c r="AC24" i="32"/>
  <c r="AB24" i="32"/>
  <c r="AA24" i="32"/>
  <c r="Z24" i="32"/>
  <c r="Y24" i="32"/>
  <c r="X24" i="32"/>
  <c r="Q24" i="32"/>
  <c r="O24" i="32"/>
  <c r="N24" i="32"/>
  <c r="K24" i="32"/>
  <c r="I24" i="32"/>
  <c r="H24" i="32"/>
  <c r="G24" i="32"/>
  <c r="F24" i="32"/>
  <c r="E24" i="32"/>
  <c r="D24" i="32"/>
  <c r="C24" i="32"/>
  <c r="B24" i="32"/>
  <c r="B11" i="32"/>
  <c r="AC30" i="32" s="1"/>
  <c r="X30" i="48"/>
  <c r="W30" i="48"/>
  <c r="V30" i="48"/>
  <c r="U30" i="48"/>
  <c r="T30" i="48"/>
  <c r="S30" i="48"/>
  <c r="R30" i="48"/>
  <c r="Q30" i="48"/>
  <c r="P30" i="48"/>
  <c r="M30" i="48"/>
  <c r="L30" i="48"/>
  <c r="K30" i="48"/>
  <c r="J30" i="48"/>
  <c r="E30" i="48"/>
  <c r="AC26" i="48"/>
  <c r="X26" i="48"/>
  <c r="W26" i="48"/>
  <c r="V26" i="48"/>
  <c r="U26" i="48"/>
  <c r="T26" i="48"/>
  <c r="S26" i="48"/>
  <c r="R26" i="48"/>
  <c r="Q26" i="48"/>
  <c r="P26" i="48"/>
  <c r="M26" i="48"/>
  <c r="L26" i="48"/>
  <c r="K26" i="48"/>
  <c r="J26" i="48"/>
  <c r="E26" i="48"/>
  <c r="AC24" i="48"/>
  <c r="AB24" i="48"/>
  <c r="AA24" i="48"/>
  <c r="Z24" i="48"/>
  <c r="Y24" i="48"/>
  <c r="X24" i="48"/>
  <c r="Q24" i="48"/>
  <c r="O24" i="48"/>
  <c r="N24" i="48"/>
  <c r="K24" i="48"/>
  <c r="I24" i="48"/>
  <c r="H24" i="48"/>
  <c r="G24" i="48"/>
  <c r="F24" i="48"/>
  <c r="E24" i="48"/>
  <c r="D24" i="48"/>
  <c r="C24" i="48"/>
  <c r="B24" i="48"/>
  <c r="B11" i="48"/>
  <c r="AB30" i="48" s="1"/>
  <c r="B11" i="47"/>
  <c r="B30" i="47" s="1"/>
  <c r="X30" i="47"/>
  <c r="W30" i="47"/>
  <c r="V30" i="47"/>
  <c r="U30" i="47"/>
  <c r="T30" i="47"/>
  <c r="S30" i="47"/>
  <c r="R30" i="47"/>
  <c r="Q30" i="47"/>
  <c r="P30" i="47"/>
  <c r="M30" i="47"/>
  <c r="L30" i="47"/>
  <c r="K30" i="47"/>
  <c r="J30" i="47"/>
  <c r="E30" i="47"/>
  <c r="B11" i="31"/>
  <c r="D30" i="31" s="1"/>
  <c r="N56" i="37"/>
  <c r="N58" i="37" s="1"/>
  <c r="M56" i="37"/>
  <c r="M58" i="37" s="1"/>
  <c r="L56" i="37"/>
  <c r="L58" i="37" s="1"/>
  <c r="K56" i="37"/>
  <c r="K58" i="37" s="1"/>
  <c r="J56" i="37"/>
  <c r="J58" i="37" s="1"/>
  <c r="I56" i="37"/>
  <c r="I58" i="37" s="1"/>
  <c r="H56" i="37"/>
  <c r="H58" i="37" s="1"/>
  <c r="G56" i="37"/>
  <c r="F56" i="37"/>
  <c r="F58" i="37" s="1"/>
  <c r="E56" i="37"/>
  <c r="E58" i="37" s="1"/>
  <c r="D56" i="37"/>
  <c r="D58" i="37" s="1"/>
  <c r="C58" i="37" s="1"/>
  <c r="B58" i="37" s="1"/>
  <c r="C56" i="37"/>
  <c r="B56" i="37"/>
  <c r="M70" i="51"/>
  <c r="L70" i="51"/>
  <c r="K70" i="51"/>
  <c r="J70" i="51"/>
  <c r="I70" i="51"/>
  <c r="H70" i="51"/>
  <c r="G70" i="51"/>
  <c r="F70" i="51"/>
  <c r="E70" i="51"/>
  <c r="D70" i="51"/>
  <c r="C70" i="51"/>
  <c r="B70" i="51"/>
  <c r="M67" i="51"/>
  <c r="L67" i="51"/>
  <c r="K67" i="51"/>
  <c r="J67" i="51"/>
  <c r="I67" i="51"/>
  <c r="H67" i="51"/>
  <c r="G67" i="51"/>
  <c r="F67" i="51"/>
  <c r="E67" i="51"/>
  <c r="D67" i="51"/>
  <c r="C67" i="51"/>
  <c r="B67" i="51"/>
  <c r="N66" i="51"/>
  <c r="M66" i="51"/>
  <c r="L66" i="51"/>
  <c r="K66" i="51"/>
  <c r="J66" i="51"/>
  <c r="I66" i="51"/>
  <c r="H66" i="51"/>
  <c r="G66" i="51"/>
  <c r="F66" i="51"/>
  <c r="E66" i="51"/>
  <c r="D66" i="51"/>
  <c r="C66" i="51"/>
  <c r="B66" i="51"/>
  <c r="N65" i="51"/>
  <c r="M65" i="51"/>
  <c r="L65" i="51"/>
  <c r="K65" i="51"/>
  <c r="J65" i="51"/>
  <c r="I65" i="51"/>
  <c r="H65" i="51"/>
  <c r="G65" i="51"/>
  <c r="F65" i="51"/>
  <c r="E65" i="51"/>
  <c r="D65" i="51"/>
  <c r="C65" i="51"/>
  <c r="B65" i="51"/>
  <c r="N64" i="51"/>
  <c r="M64" i="51"/>
  <c r="L64" i="51"/>
  <c r="K64" i="51"/>
  <c r="J64" i="51"/>
  <c r="I64" i="51"/>
  <c r="H64" i="51"/>
  <c r="G64" i="51"/>
  <c r="F64" i="51"/>
  <c r="E64" i="51"/>
  <c r="D64" i="51"/>
  <c r="C64" i="51"/>
  <c r="B64" i="51"/>
  <c r="N63" i="51"/>
  <c r="M63" i="51"/>
  <c r="L63" i="51"/>
  <c r="K63" i="51"/>
  <c r="J63" i="51"/>
  <c r="I63" i="51"/>
  <c r="H63" i="51"/>
  <c r="G63" i="51"/>
  <c r="F63" i="51"/>
  <c r="E63" i="51"/>
  <c r="D63" i="51"/>
  <c r="C63" i="51"/>
  <c r="B63" i="51"/>
  <c r="N62" i="51"/>
  <c r="M62" i="51"/>
  <c r="L62" i="51"/>
  <c r="K62" i="51"/>
  <c r="J62" i="51"/>
  <c r="I62" i="51"/>
  <c r="H62" i="51"/>
  <c r="G62" i="51"/>
  <c r="F62" i="51"/>
  <c r="E62" i="51"/>
  <c r="D62" i="51"/>
  <c r="C62" i="51"/>
  <c r="B62" i="51"/>
  <c r="N61" i="51"/>
  <c r="M61" i="51"/>
  <c r="L61" i="51"/>
  <c r="K61" i="51"/>
  <c r="J61" i="51"/>
  <c r="I61" i="51"/>
  <c r="H61" i="51"/>
  <c r="G61" i="51"/>
  <c r="F61" i="51"/>
  <c r="E61" i="51"/>
  <c r="D61" i="51"/>
  <c r="C61" i="51"/>
  <c r="B61" i="51"/>
  <c r="N60" i="51"/>
  <c r="M60" i="51"/>
  <c r="L60" i="51"/>
  <c r="K60" i="51"/>
  <c r="J60" i="51"/>
  <c r="I60" i="51"/>
  <c r="H60" i="51"/>
  <c r="G60" i="51"/>
  <c r="F60" i="51"/>
  <c r="E60" i="51"/>
  <c r="D60" i="51"/>
  <c r="C60" i="51"/>
  <c r="B60" i="51"/>
  <c r="N59" i="51"/>
  <c r="M59" i="51"/>
  <c r="L59" i="51"/>
  <c r="K59" i="51"/>
  <c r="J59" i="51"/>
  <c r="I59" i="51"/>
  <c r="H59" i="51"/>
  <c r="G59" i="51"/>
  <c r="F59" i="51"/>
  <c r="E59" i="51"/>
  <c r="D59" i="51"/>
  <c r="C59" i="51"/>
  <c r="B59" i="51"/>
  <c r="N56" i="51"/>
  <c r="N58" i="51" s="1"/>
  <c r="M56" i="51"/>
  <c r="L56" i="51"/>
  <c r="L58" i="51" s="1"/>
  <c r="K56" i="51"/>
  <c r="K58" i="51" s="1"/>
  <c r="J56" i="51"/>
  <c r="J58" i="51" s="1"/>
  <c r="I56" i="51"/>
  <c r="H56" i="51"/>
  <c r="H58" i="51" s="1"/>
  <c r="G56" i="51"/>
  <c r="G58" i="51" s="1"/>
  <c r="F56" i="51"/>
  <c r="F58" i="51" s="1"/>
  <c r="E56" i="51"/>
  <c r="D56" i="51"/>
  <c r="D58" i="51" s="1"/>
  <c r="C56" i="51"/>
  <c r="B56" i="51"/>
  <c r="N56" i="52"/>
  <c r="N58" i="52" s="1"/>
  <c r="M56" i="52"/>
  <c r="M58" i="52" s="1"/>
  <c r="L56" i="52"/>
  <c r="L58" i="52" s="1"/>
  <c r="K56" i="52"/>
  <c r="K58" i="52" s="1"/>
  <c r="J56" i="52"/>
  <c r="I56" i="52"/>
  <c r="H56" i="52"/>
  <c r="H58" i="52" s="1"/>
  <c r="G56" i="52"/>
  <c r="G58" i="52" s="1"/>
  <c r="F56" i="52"/>
  <c r="E56" i="52"/>
  <c r="D56" i="52"/>
  <c r="D58" i="52" s="1"/>
  <c r="C58" i="52" s="1"/>
  <c r="B58" i="52" s="1"/>
  <c r="C56" i="52"/>
  <c r="B56" i="52"/>
  <c r="AB72" i="36"/>
  <c r="AA72" i="36"/>
  <c r="Z72" i="36"/>
  <c r="Y72" i="36"/>
  <c r="X72" i="36"/>
  <c r="W72" i="36"/>
  <c r="V72" i="36"/>
  <c r="U72" i="36"/>
  <c r="T72" i="36"/>
  <c r="S72" i="36"/>
  <c r="R72" i="36"/>
  <c r="Q72" i="36"/>
  <c r="P72" i="36"/>
  <c r="O72" i="36"/>
  <c r="N72" i="36"/>
  <c r="M72" i="36"/>
  <c r="L72" i="36"/>
  <c r="K72" i="36"/>
  <c r="J72" i="36"/>
  <c r="I72" i="36"/>
  <c r="H72" i="36"/>
  <c r="G72" i="36"/>
  <c r="F72" i="36"/>
  <c r="E72" i="36"/>
  <c r="D72" i="36"/>
  <c r="C72" i="36"/>
  <c r="B72" i="36"/>
  <c r="AB71" i="36"/>
  <c r="AA71" i="36"/>
  <c r="Z71" i="36"/>
  <c r="Y71" i="36"/>
  <c r="X71" i="36"/>
  <c r="W71" i="36"/>
  <c r="V71" i="36"/>
  <c r="U71" i="36"/>
  <c r="T71" i="36"/>
  <c r="S71" i="36"/>
  <c r="R71" i="36"/>
  <c r="Q71" i="36"/>
  <c r="P71" i="36"/>
  <c r="O71" i="36"/>
  <c r="N71" i="36"/>
  <c r="M71" i="36"/>
  <c r="L71" i="36"/>
  <c r="K71" i="36"/>
  <c r="J71" i="36"/>
  <c r="I71" i="36"/>
  <c r="H71" i="36"/>
  <c r="G71" i="36"/>
  <c r="F71" i="36"/>
  <c r="E71" i="36"/>
  <c r="D71" i="36"/>
  <c r="C71" i="36"/>
  <c r="B71" i="36"/>
  <c r="AB70" i="36"/>
  <c r="AA70" i="36"/>
  <c r="Z70" i="36"/>
  <c r="Y70" i="36"/>
  <c r="X70" i="36"/>
  <c r="W70" i="36"/>
  <c r="V70" i="36"/>
  <c r="U70" i="36"/>
  <c r="T70" i="36"/>
  <c r="S70" i="36"/>
  <c r="R70" i="36"/>
  <c r="Q70" i="36"/>
  <c r="P70" i="36"/>
  <c r="O70" i="36"/>
  <c r="N70" i="36"/>
  <c r="M70" i="36"/>
  <c r="L70" i="36"/>
  <c r="K70" i="36"/>
  <c r="J70" i="36"/>
  <c r="I70" i="36"/>
  <c r="H70" i="36"/>
  <c r="G70" i="36"/>
  <c r="F70" i="36"/>
  <c r="E70" i="36"/>
  <c r="D70" i="36"/>
  <c r="C70" i="36"/>
  <c r="B70" i="36"/>
  <c r="AB67" i="36"/>
  <c r="AA67" i="36"/>
  <c r="Z67" i="36"/>
  <c r="Y67" i="36"/>
  <c r="X67" i="36"/>
  <c r="W67" i="36"/>
  <c r="V67" i="36"/>
  <c r="U67" i="36"/>
  <c r="T67" i="36"/>
  <c r="S67" i="36"/>
  <c r="R67" i="36"/>
  <c r="Q67" i="36"/>
  <c r="P67" i="36"/>
  <c r="O67" i="36"/>
  <c r="N67" i="36"/>
  <c r="M67" i="36"/>
  <c r="L67" i="36"/>
  <c r="K67" i="36"/>
  <c r="J67" i="36"/>
  <c r="I67" i="36"/>
  <c r="H67" i="36"/>
  <c r="G67" i="36"/>
  <c r="F67" i="36"/>
  <c r="E67" i="36"/>
  <c r="D67" i="36"/>
  <c r="C67" i="36"/>
  <c r="B67" i="36"/>
  <c r="AC66" i="36"/>
  <c r="AB66" i="36"/>
  <c r="AA66" i="36"/>
  <c r="Z66" i="36"/>
  <c r="Y66" i="36"/>
  <c r="X66" i="36"/>
  <c r="W66" i="36"/>
  <c r="V66" i="36"/>
  <c r="U66" i="36"/>
  <c r="T66" i="36"/>
  <c r="S66" i="36"/>
  <c r="R66" i="36"/>
  <c r="Q66" i="36"/>
  <c r="P66" i="36"/>
  <c r="O66" i="36"/>
  <c r="N66" i="36"/>
  <c r="M66" i="36"/>
  <c r="L66" i="36"/>
  <c r="K66" i="36"/>
  <c r="J66" i="36"/>
  <c r="I66" i="36"/>
  <c r="H66" i="36"/>
  <c r="G66" i="36"/>
  <c r="F66" i="36"/>
  <c r="E66" i="36"/>
  <c r="D66" i="36"/>
  <c r="C66" i="36"/>
  <c r="B66" i="36"/>
  <c r="AC65" i="36"/>
  <c r="AB65" i="36"/>
  <c r="AA65" i="36"/>
  <c r="Z65" i="36"/>
  <c r="Y65" i="36"/>
  <c r="X65" i="36"/>
  <c r="W65" i="36"/>
  <c r="V65" i="36"/>
  <c r="U65" i="36"/>
  <c r="T65" i="36"/>
  <c r="S65" i="36"/>
  <c r="R65" i="36"/>
  <c r="Q65" i="36"/>
  <c r="P65" i="36"/>
  <c r="O65" i="36"/>
  <c r="N65" i="36"/>
  <c r="M65" i="36"/>
  <c r="L65" i="36"/>
  <c r="K65" i="36"/>
  <c r="J65" i="36"/>
  <c r="I65" i="36"/>
  <c r="H65" i="36"/>
  <c r="G65" i="36"/>
  <c r="F65" i="36"/>
  <c r="E65" i="36"/>
  <c r="D65" i="36"/>
  <c r="C65" i="36"/>
  <c r="B65" i="36"/>
  <c r="AC64" i="36"/>
  <c r="AB64" i="36"/>
  <c r="AA64" i="36"/>
  <c r="Z64" i="36"/>
  <c r="Y64" i="36"/>
  <c r="X64" i="36"/>
  <c r="W64" i="36"/>
  <c r="V64" i="36"/>
  <c r="U64" i="36"/>
  <c r="T64" i="36"/>
  <c r="S64" i="36"/>
  <c r="R64" i="36"/>
  <c r="Q64" i="36"/>
  <c r="P64" i="36"/>
  <c r="O64" i="36"/>
  <c r="N64" i="36"/>
  <c r="M64" i="36"/>
  <c r="L64" i="36"/>
  <c r="K64" i="36"/>
  <c r="J64" i="36"/>
  <c r="I64" i="36"/>
  <c r="H64" i="36"/>
  <c r="G64" i="36"/>
  <c r="F64" i="36"/>
  <c r="E64" i="36"/>
  <c r="D64" i="36"/>
  <c r="C64" i="36"/>
  <c r="B64"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C63" i="36"/>
  <c r="B63" i="36"/>
  <c r="AC62" i="36"/>
  <c r="AB62" i="36"/>
  <c r="AA62" i="36"/>
  <c r="Z62" i="36"/>
  <c r="Y62" i="36"/>
  <c r="X62" i="36"/>
  <c r="W62" i="36"/>
  <c r="V62" i="36"/>
  <c r="U62" i="36"/>
  <c r="T62" i="36"/>
  <c r="S62" i="36"/>
  <c r="R62" i="36"/>
  <c r="Q62" i="36"/>
  <c r="P62" i="36"/>
  <c r="O62" i="36"/>
  <c r="N62" i="36"/>
  <c r="M62" i="36"/>
  <c r="L62" i="36"/>
  <c r="K62" i="36"/>
  <c r="J62" i="36"/>
  <c r="I62" i="36"/>
  <c r="H62" i="36"/>
  <c r="G62" i="36"/>
  <c r="F62" i="36"/>
  <c r="E62" i="36"/>
  <c r="D62" i="36"/>
  <c r="C62" i="36"/>
  <c r="B62" i="36"/>
  <c r="AC61" i="36"/>
  <c r="AB61" i="36"/>
  <c r="AA61" i="36"/>
  <c r="Z61" i="36"/>
  <c r="Y61" i="36"/>
  <c r="X61" i="36"/>
  <c r="W61" i="36"/>
  <c r="V61" i="36"/>
  <c r="U61" i="36"/>
  <c r="T61" i="36"/>
  <c r="S61" i="36"/>
  <c r="R61" i="36"/>
  <c r="Q61" i="36"/>
  <c r="P61" i="36"/>
  <c r="O61" i="36"/>
  <c r="N61" i="36"/>
  <c r="M61" i="36"/>
  <c r="L61" i="36"/>
  <c r="K61" i="36"/>
  <c r="J61" i="36"/>
  <c r="I61" i="36"/>
  <c r="H61" i="36"/>
  <c r="G61" i="36"/>
  <c r="F61" i="36"/>
  <c r="E61" i="36"/>
  <c r="D61" i="36"/>
  <c r="C61" i="36"/>
  <c r="B61" i="36"/>
  <c r="AC60" i="36"/>
  <c r="AB60" i="36"/>
  <c r="AA60" i="36"/>
  <c r="Z60" i="36"/>
  <c r="Y60" i="36"/>
  <c r="X60" i="36"/>
  <c r="W60" i="36"/>
  <c r="V60" i="36"/>
  <c r="U60" i="36"/>
  <c r="T60" i="36"/>
  <c r="S60" i="36"/>
  <c r="R60" i="36"/>
  <c r="Q60" i="36"/>
  <c r="P60" i="36"/>
  <c r="O60" i="36"/>
  <c r="N60" i="36"/>
  <c r="M60" i="36"/>
  <c r="L60" i="36"/>
  <c r="K60" i="36"/>
  <c r="J60" i="36"/>
  <c r="I60" i="36"/>
  <c r="H60" i="36"/>
  <c r="G60" i="36"/>
  <c r="F60" i="36"/>
  <c r="E60" i="36"/>
  <c r="D60" i="36"/>
  <c r="C60" i="36"/>
  <c r="B60" i="36"/>
  <c r="AC59" i="36"/>
  <c r="AB59" i="36"/>
  <c r="AA59" i="36"/>
  <c r="Z59" i="36"/>
  <c r="Y59" i="36"/>
  <c r="X59" i="36"/>
  <c r="W59" i="36"/>
  <c r="V59" i="36"/>
  <c r="U59" i="36"/>
  <c r="T59" i="36"/>
  <c r="S59" i="36"/>
  <c r="R59" i="36"/>
  <c r="Q59" i="36"/>
  <c r="P59" i="36"/>
  <c r="O59" i="36"/>
  <c r="N59" i="36"/>
  <c r="M59" i="36"/>
  <c r="L59" i="36"/>
  <c r="K59" i="36"/>
  <c r="J59" i="36"/>
  <c r="I59" i="36"/>
  <c r="H59" i="36"/>
  <c r="G59" i="36"/>
  <c r="F59" i="36"/>
  <c r="E59" i="36"/>
  <c r="D59" i="36"/>
  <c r="C59" i="36"/>
  <c r="B59" i="36"/>
  <c r="AC56" i="36"/>
  <c r="AB56" i="36"/>
  <c r="AB58" i="36" s="1"/>
  <c r="AA56" i="36"/>
  <c r="AA58" i="36" s="1"/>
  <c r="Z56" i="36"/>
  <c r="Y56" i="36"/>
  <c r="X56" i="36"/>
  <c r="X58" i="36" s="1"/>
  <c r="W56" i="36"/>
  <c r="W58" i="36" s="1"/>
  <c r="V56" i="36"/>
  <c r="V58" i="36" s="1"/>
  <c r="U56" i="36"/>
  <c r="U58" i="36" s="1"/>
  <c r="T56" i="36"/>
  <c r="T58" i="36" s="1"/>
  <c r="S56" i="36"/>
  <c r="S58" i="36" s="1"/>
  <c r="R56" i="36"/>
  <c r="Q56" i="36"/>
  <c r="P56" i="36"/>
  <c r="O56" i="36"/>
  <c r="O58" i="36" s="1"/>
  <c r="N56" i="36"/>
  <c r="N58" i="36" s="1"/>
  <c r="M56" i="36"/>
  <c r="L56" i="36"/>
  <c r="L58" i="36" s="1"/>
  <c r="K56" i="36"/>
  <c r="K58" i="36" s="1"/>
  <c r="J56" i="36"/>
  <c r="I56" i="36"/>
  <c r="I58" i="36" s="1"/>
  <c r="H56" i="36"/>
  <c r="H58" i="36" s="1"/>
  <c r="G56" i="36"/>
  <c r="G58" i="36" s="1"/>
  <c r="F56" i="36"/>
  <c r="F58" i="36" s="1"/>
  <c r="E56" i="36"/>
  <c r="E58" i="36" s="1"/>
  <c r="D56" i="36"/>
  <c r="D58" i="36" s="1"/>
  <c r="C58" i="36" s="1"/>
  <c r="B58" i="36" s="1"/>
  <c r="C56" i="36"/>
  <c r="B56" i="36"/>
  <c r="AB72" i="49"/>
  <c r="AA72" i="49"/>
  <c r="Z72" i="49"/>
  <c r="Y72" i="49"/>
  <c r="X72" i="49"/>
  <c r="W72" i="49"/>
  <c r="V72" i="49"/>
  <c r="U72" i="49"/>
  <c r="T72" i="49"/>
  <c r="S72" i="49"/>
  <c r="R72" i="49"/>
  <c r="Q72" i="49"/>
  <c r="P72" i="49"/>
  <c r="O72" i="49"/>
  <c r="N72" i="49"/>
  <c r="M72" i="49"/>
  <c r="L72" i="49"/>
  <c r="K72" i="49"/>
  <c r="J72" i="49"/>
  <c r="I72" i="49"/>
  <c r="H72" i="49"/>
  <c r="G72" i="49"/>
  <c r="F72" i="49"/>
  <c r="E72" i="49"/>
  <c r="D72" i="49"/>
  <c r="C72" i="49"/>
  <c r="B72" i="49"/>
  <c r="AB71" i="49"/>
  <c r="AA71" i="49"/>
  <c r="Z71" i="49"/>
  <c r="Y71" i="49"/>
  <c r="X71" i="49"/>
  <c r="W71" i="49"/>
  <c r="V71" i="49"/>
  <c r="U71" i="49"/>
  <c r="T71" i="49"/>
  <c r="S71" i="49"/>
  <c r="R71" i="49"/>
  <c r="Q71" i="49"/>
  <c r="P71" i="49"/>
  <c r="O71" i="49"/>
  <c r="N71" i="49"/>
  <c r="M71" i="49"/>
  <c r="L71" i="49"/>
  <c r="K71" i="49"/>
  <c r="J71" i="49"/>
  <c r="I71" i="49"/>
  <c r="H71" i="49"/>
  <c r="G71" i="49"/>
  <c r="F71" i="49"/>
  <c r="E71" i="49"/>
  <c r="D71" i="49"/>
  <c r="C71" i="49"/>
  <c r="B71" i="49"/>
  <c r="AB70" i="49"/>
  <c r="AA70" i="49"/>
  <c r="Z70" i="49"/>
  <c r="Y70" i="49"/>
  <c r="X70" i="49"/>
  <c r="W70" i="49"/>
  <c r="V70" i="49"/>
  <c r="U70" i="49"/>
  <c r="T70" i="49"/>
  <c r="S70" i="49"/>
  <c r="R70" i="49"/>
  <c r="Q70" i="49"/>
  <c r="P70" i="49"/>
  <c r="O70" i="49"/>
  <c r="N70" i="49"/>
  <c r="M70" i="49"/>
  <c r="L70" i="49"/>
  <c r="K70" i="49"/>
  <c r="J70" i="49"/>
  <c r="I70" i="49"/>
  <c r="H70" i="49"/>
  <c r="G70" i="49"/>
  <c r="F70" i="49"/>
  <c r="E70" i="49"/>
  <c r="D70" i="49"/>
  <c r="C70" i="49"/>
  <c r="B70" i="49"/>
  <c r="AB67" i="49"/>
  <c r="AA67" i="49"/>
  <c r="Z67" i="49"/>
  <c r="Y67" i="49"/>
  <c r="X67" i="49"/>
  <c r="W67" i="49"/>
  <c r="V67" i="49"/>
  <c r="U67" i="49"/>
  <c r="T67" i="49"/>
  <c r="S67" i="49"/>
  <c r="R67" i="49"/>
  <c r="Q67" i="49"/>
  <c r="P67" i="49"/>
  <c r="O67" i="49"/>
  <c r="N67" i="49"/>
  <c r="M67" i="49"/>
  <c r="L67" i="49"/>
  <c r="K67" i="49"/>
  <c r="J67" i="49"/>
  <c r="I67" i="49"/>
  <c r="H67" i="49"/>
  <c r="G67" i="49"/>
  <c r="F67" i="49"/>
  <c r="E67" i="49"/>
  <c r="D67" i="49"/>
  <c r="C67" i="49"/>
  <c r="B67" i="49"/>
  <c r="AC66" i="49"/>
  <c r="AB66" i="49"/>
  <c r="AA66" i="49"/>
  <c r="Z66" i="49"/>
  <c r="Y66" i="49"/>
  <c r="X66" i="49"/>
  <c r="W66" i="49"/>
  <c r="V66" i="49"/>
  <c r="U66" i="49"/>
  <c r="T66" i="49"/>
  <c r="S66" i="49"/>
  <c r="R66" i="49"/>
  <c r="Q66" i="49"/>
  <c r="P66" i="49"/>
  <c r="O66" i="49"/>
  <c r="N66" i="49"/>
  <c r="M66" i="49"/>
  <c r="L66" i="49"/>
  <c r="K66" i="49"/>
  <c r="J66" i="49"/>
  <c r="I66" i="49"/>
  <c r="H66" i="49"/>
  <c r="G66" i="49"/>
  <c r="F66" i="49"/>
  <c r="E66" i="49"/>
  <c r="D66" i="49"/>
  <c r="C66" i="49"/>
  <c r="B66" i="49"/>
  <c r="AC65" i="49"/>
  <c r="AB65" i="49"/>
  <c r="AA65" i="49"/>
  <c r="Z65" i="49"/>
  <c r="Y65" i="49"/>
  <c r="X65" i="49"/>
  <c r="W65" i="49"/>
  <c r="V65" i="49"/>
  <c r="U65" i="49"/>
  <c r="T65" i="49"/>
  <c r="S65" i="49"/>
  <c r="R65" i="49"/>
  <c r="Q65" i="49"/>
  <c r="P65" i="49"/>
  <c r="O65" i="49"/>
  <c r="N65" i="49"/>
  <c r="M65" i="49"/>
  <c r="L65" i="49"/>
  <c r="K65" i="49"/>
  <c r="J65" i="49"/>
  <c r="I65" i="49"/>
  <c r="H65" i="49"/>
  <c r="G65" i="49"/>
  <c r="F65" i="49"/>
  <c r="E65" i="49"/>
  <c r="D65" i="49"/>
  <c r="C65" i="49"/>
  <c r="B65" i="49"/>
  <c r="AC64" i="49"/>
  <c r="AB64" i="49"/>
  <c r="AA64" i="49"/>
  <c r="Z64" i="49"/>
  <c r="Y64" i="49"/>
  <c r="X64" i="49"/>
  <c r="W64" i="49"/>
  <c r="V64" i="49"/>
  <c r="U64" i="49"/>
  <c r="T64" i="49"/>
  <c r="S64" i="49"/>
  <c r="R64" i="49"/>
  <c r="Q64" i="49"/>
  <c r="P64" i="49"/>
  <c r="O64" i="49"/>
  <c r="N64" i="49"/>
  <c r="M64" i="49"/>
  <c r="L64" i="49"/>
  <c r="K64" i="49"/>
  <c r="J64" i="49"/>
  <c r="I64" i="49"/>
  <c r="H64" i="49"/>
  <c r="G64" i="49"/>
  <c r="F64" i="49"/>
  <c r="E64" i="49"/>
  <c r="D64" i="49"/>
  <c r="C64" i="49"/>
  <c r="B64" i="49"/>
  <c r="AC63" i="49"/>
  <c r="AB63" i="49"/>
  <c r="AA63" i="49"/>
  <c r="Z63" i="49"/>
  <c r="Y63" i="49"/>
  <c r="X63" i="49"/>
  <c r="W63" i="49"/>
  <c r="V63" i="49"/>
  <c r="U63" i="49"/>
  <c r="T63" i="49"/>
  <c r="S63" i="49"/>
  <c r="R63" i="49"/>
  <c r="Q63" i="49"/>
  <c r="P63" i="49"/>
  <c r="O63" i="49"/>
  <c r="N63" i="49"/>
  <c r="M63" i="49"/>
  <c r="L63" i="49"/>
  <c r="K63" i="49"/>
  <c r="J63" i="49"/>
  <c r="I63" i="49"/>
  <c r="H63" i="49"/>
  <c r="G63" i="49"/>
  <c r="F63" i="49"/>
  <c r="E63" i="49"/>
  <c r="D63" i="49"/>
  <c r="C63" i="49"/>
  <c r="B63" i="49"/>
  <c r="AC62" i="49"/>
  <c r="AB62" i="49"/>
  <c r="AA62" i="49"/>
  <c r="Z62" i="49"/>
  <c r="Y62" i="49"/>
  <c r="X62" i="49"/>
  <c r="W62" i="49"/>
  <c r="V62" i="49"/>
  <c r="U62" i="49"/>
  <c r="T62" i="49"/>
  <c r="S62" i="49"/>
  <c r="R62" i="49"/>
  <c r="Q62" i="49"/>
  <c r="P62" i="49"/>
  <c r="O62" i="49"/>
  <c r="N62" i="49"/>
  <c r="M62" i="49"/>
  <c r="L62" i="49"/>
  <c r="K62" i="49"/>
  <c r="J62" i="49"/>
  <c r="I62" i="49"/>
  <c r="H62" i="49"/>
  <c r="G62" i="49"/>
  <c r="F62" i="49"/>
  <c r="E62" i="49"/>
  <c r="D62" i="49"/>
  <c r="C62" i="49"/>
  <c r="B62" i="49"/>
  <c r="AC61" i="49"/>
  <c r="AB61" i="49"/>
  <c r="AA61" i="49"/>
  <c r="Z61" i="49"/>
  <c r="Y61" i="49"/>
  <c r="X61" i="49"/>
  <c r="W61" i="49"/>
  <c r="V61" i="49"/>
  <c r="U61" i="49"/>
  <c r="T61" i="49"/>
  <c r="S61" i="49"/>
  <c r="R61" i="49"/>
  <c r="Q61" i="49"/>
  <c r="P61" i="49"/>
  <c r="O61" i="49"/>
  <c r="N61" i="49"/>
  <c r="M61" i="49"/>
  <c r="L61" i="49"/>
  <c r="K61" i="49"/>
  <c r="J61" i="49"/>
  <c r="I61" i="49"/>
  <c r="H61" i="49"/>
  <c r="G61" i="49"/>
  <c r="F61" i="49"/>
  <c r="E61" i="49"/>
  <c r="D61" i="49"/>
  <c r="C61" i="49"/>
  <c r="B61" i="49"/>
  <c r="AC60" i="49"/>
  <c r="AB60" i="49"/>
  <c r="AA60" i="49"/>
  <c r="Z60" i="49"/>
  <c r="Y60" i="49"/>
  <c r="X60" i="49"/>
  <c r="W60" i="49"/>
  <c r="V60" i="49"/>
  <c r="U60" i="49"/>
  <c r="T60" i="49"/>
  <c r="S60" i="49"/>
  <c r="R60" i="49"/>
  <c r="Q60" i="49"/>
  <c r="P60" i="49"/>
  <c r="O60" i="49"/>
  <c r="N60" i="49"/>
  <c r="M60" i="49"/>
  <c r="L60" i="49"/>
  <c r="K60" i="49"/>
  <c r="J60" i="49"/>
  <c r="I60" i="49"/>
  <c r="H60" i="49"/>
  <c r="G60" i="49"/>
  <c r="F60" i="49"/>
  <c r="E60" i="49"/>
  <c r="D60" i="49"/>
  <c r="C60" i="49"/>
  <c r="B60" i="49"/>
  <c r="AC59" i="49"/>
  <c r="AB59" i="49"/>
  <c r="AA59" i="49"/>
  <c r="Z59" i="49"/>
  <c r="Y59" i="49"/>
  <c r="X59" i="49"/>
  <c r="W59" i="49"/>
  <c r="V59" i="49"/>
  <c r="U59" i="49"/>
  <c r="T59" i="49"/>
  <c r="S59" i="49"/>
  <c r="R59" i="49"/>
  <c r="Q59" i="49"/>
  <c r="P59" i="49"/>
  <c r="O59" i="49"/>
  <c r="N59" i="49"/>
  <c r="M59" i="49"/>
  <c r="L59" i="49"/>
  <c r="K59" i="49"/>
  <c r="J59" i="49"/>
  <c r="I59" i="49"/>
  <c r="H59" i="49"/>
  <c r="G59" i="49"/>
  <c r="F59" i="49"/>
  <c r="E59" i="49"/>
  <c r="D59" i="49"/>
  <c r="C59" i="49"/>
  <c r="B59" i="49"/>
  <c r="AC56" i="49"/>
  <c r="AC58" i="49" s="1"/>
  <c r="AB56" i="49"/>
  <c r="AB58" i="49" s="1"/>
  <c r="AA56" i="49"/>
  <c r="Z56" i="49"/>
  <c r="Z58" i="49" s="1"/>
  <c r="Y56" i="49"/>
  <c r="X56" i="49"/>
  <c r="X58" i="49" s="1"/>
  <c r="W56" i="49"/>
  <c r="V56" i="49"/>
  <c r="V58" i="49" s="1"/>
  <c r="U56" i="49"/>
  <c r="U58" i="49" s="1"/>
  <c r="T56" i="49"/>
  <c r="T58" i="49" s="1"/>
  <c r="S56" i="49"/>
  <c r="S58" i="49" s="1"/>
  <c r="R56" i="49"/>
  <c r="Q56" i="49"/>
  <c r="P56" i="49"/>
  <c r="P58" i="49" s="1"/>
  <c r="O56" i="49"/>
  <c r="O58" i="49" s="1"/>
  <c r="N56" i="49"/>
  <c r="N58" i="49" s="1"/>
  <c r="M56" i="49"/>
  <c r="M58" i="49" s="1"/>
  <c r="L56" i="49"/>
  <c r="L58" i="49" s="1"/>
  <c r="K56" i="49"/>
  <c r="K58" i="49" s="1"/>
  <c r="J56" i="49"/>
  <c r="J58" i="49" s="1"/>
  <c r="I56" i="49"/>
  <c r="I58" i="49" s="1"/>
  <c r="H56" i="49"/>
  <c r="H58" i="49" s="1"/>
  <c r="G56" i="49"/>
  <c r="F56" i="49"/>
  <c r="E56" i="49"/>
  <c r="E58" i="49" s="1"/>
  <c r="D56" i="49"/>
  <c r="C56" i="49"/>
  <c r="B56" i="49"/>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C72" i="34"/>
  <c r="B72" i="34"/>
  <c r="AB71" i="34"/>
  <c r="AA71" i="34"/>
  <c r="Z71" i="34"/>
  <c r="Y71" i="34"/>
  <c r="X71" i="34"/>
  <c r="W71" i="34"/>
  <c r="V71" i="34"/>
  <c r="U71" i="34"/>
  <c r="T71" i="34"/>
  <c r="S71" i="34"/>
  <c r="R71" i="34"/>
  <c r="Q71" i="34"/>
  <c r="P71" i="34"/>
  <c r="O71" i="34"/>
  <c r="N71" i="34"/>
  <c r="M71" i="34"/>
  <c r="L71" i="34"/>
  <c r="K71" i="34"/>
  <c r="J71" i="34"/>
  <c r="I71" i="34"/>
  <c r="H71" i="34"/>
  <c r="G71" i="34"/>
  <c r="F71" i="34"/>
  <c r="E71" i="34"/>
  <c r="D71" i="34"/>
  <c r="C71" i="34"/>
  <c r="B71" i="34"/>
  <c r="AB70" i="34"/>
  <c r="AA70" i="34"/>
  <c r="Z70" i="34"/>
  <c r="Y70" i="34"/>
  <c r="X70" i="34"/>
  <c r="W70" i="34"/>
  <c r="V70" i="34"/>
  <c r="U70" i="34"/>
  <c r="T70" i="34"/>
  <c r="S70" i="34"/>
  <c r="R70" i="34"/>
  <c r="Q70" i="34"/>
  <c r="P70" i="34"/>
  <c r="O70" i="34"/>
  <c r="N70" i="34"/>
  <c r="M70" i="34"/>
  <c r="L70" i="34"/>
  <c r="K70" i="34"/>
  <c r="J70" i="34"/>
  <c r="I70" i="34"/>
  <c r="H70" i="34"/>
  <c r="G70" i="34"/>
  <c r="F70" i="34"/>
  <c r="E70" i="34"/>
  <c r="D70" i="34"/>
  <c r="C70" i="34"/>
  <c r="B70" i="34"/>
  <c r="AB67" i="34"/>
  <c r="AA67" i="34"/>
  <c r="Z67" i="34"/>
  <c r="Y67" i="34"/>
  <c r="X67" i="34"/>
  <c r="W67" i="34"/>
  <c r="V67" i="34"/>
  <c r="U67" i="34"/>
  <c r="T67" i="34"/>
  <c r="S67" i="34"/>
  <c r="R67" i="34"/>
  <c r="Q67" i="34"/>
  <c r="P67" i="34"/>
  <c r="O67" i="34"/>
  <c r="N67" i="34"/>
  <c r="M67" i="34"/>
  <c r="L67" i="34"/>
  <c r="K67" i="34"/>
  <c r="J67" i="34"/>
  <c r="I67" i="34"/>
  <c r="H67" i="34"/>
  <c r="G67" i="34"/>
  <c r="F67" i="34"/>
  <c r="E67" i="34"/>
  <c r="D67" i="34"/>
  <c r="C67" i="34"/>
  <c r="B67" i="34"/>
  <c r="AC66" i="34"/>
  <c r="AB66" i="34"/>
  <c r="AA66" i="34"/>
  <c r="Z66" i="34"/>
  <c r="Y66" i="34"/>
  <c r="X66" i="34"/>
  <c r="W66" i="34"/>
  <c r="V66" i="34"/>
  <c r="U66" i="34"/>
  <c r="T66" i="34"/>
  <c r="S66" i="34"/>
  <c r="R66" i="34"/>
  <c r="Q66" i="34"/>
  <c r="P66" i="34"/>
  <c r="O66" i="34"/>
  <c r="N66" i="34"/>
  <c r="M66" i="34"/>
  <c r="L66" i="34"/>
  <c r="K66" i="34"/>
  <c r="J66" i="34"/>
  <c r="I66" i="34"/>
  <c r="H66" i="34"/>
  <c r="G66" i="34"/>
  <c r="F66" i="34"/>
  <c r="E66" i="34"/>
  <c r="D66" i="34"/>
  <c r="C66" i="34"/>
  <c r="B66" i="34"/>
  <c r="AC65" i="34"/>
  <c r="AB65" i="34"/>
  <c r="AA65" i="34"/>
  <c r="Z65" i="34"/>
  <c r="Y65" i="34"/>
  <c r="X65" i="34"/>
  <c r="W65" i="34"/>
  <c r="V65" i="34"/>
  <c r="U65" i="34"/>
  <c r="T65" i="34"/>
  <c r="S65" i="34"/>
  <c r="R65" i="34"/>
  <c r="Q65" i="34"/>
  <c r="P65" i="34"/>
  <c r="O65" i="34"/>
  <c r="N65" i="34"/>
  <c r="M65" i="34"/>
  <c r="L65" i="34"/>
  <c r="K65" i="34"/>
  <c r="J65" i="34"/>
  <c r="I65" i="34"/>
  <c r="H65" i="34"/>
  <c r="G65" i="34"/>
  <c r="F65" i="34"/>
  <c r="E65" i="34"/>
  <c r="D65" i="34"/>
  <c r="C65" i="34"/>
  <c r="B65" i="34"/>
  <c r="AC64" i="34"/>
  <c r="AB64" i="34"/>
  <c r="AA64" i="34"/>
  <c r="Z64" i="34"/>
  <c r="Y64" i="34"/>
  <c r="X64" i="34"/>
  <c r="W64" i="34"/>
  <c r="V64" i="34"/>
  <c r="U64" i="34"/>
  <c r="T64" i="34"/>
  <c r="S64" i="34"/>
  <c r="R64" i="34"/>
  <c r="Q64" i="34"/>
  <c r="P64" i="34"/>
  <c r="O64" i="34"/>
  <c r="N64" i="34"/>
  <c r="M64" i="34"/>
  <c r="L64" i="34"/>
  <c r="K64" i="34"/>
  <c r="J64" i="34"/>
  <c r="I64" i="34"/>
  <c r="H64" i="34"/>
  <c r="G64" i="34"/>
  <c r="F64" i="34"/>
  <c r="E64" i="34"/>
  <c r="D64" i="34"/>
  <c r="C64" i="34"/>
  <c r="B64" i="34"/>
  <c r="AC63"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C63" i="34"/>
  <c r="B63" i="34"/>
  <c r="AC62" i="34"/>
  <c r="AB62" i="34"/>
  <c r="AA62" i="34"/>
  <c r="Z62" i="34"/>
  <c r="Y62" i="34"/>
  <c r="X62" i="34"/>
  <c r="W62" i="34"/>
  <c r="V62" i="34"/>
  <c r="U62" i="34"/>
  <c r="T62" i="34"/>
  <c r="S62" i="34"/>
  <c r="R62" i="34"/>
  <c r="Q62" i="34"/>
  <c r="P62" i="34"/>
  <c r="O62" i="34"/>
  <c r="N62" i="34"/>
  <c r="M62" i="34"/>
  <c r="L62" i="34"/>
  <c r="K62" i="34"/>
  <c r="J62" i="34"/>
  <c r="I62" i="34"/>
  <c r="H62" i="34"/>
  <c r="G62" i="34"/>
  <c r="F62" i="34"/>
  <c r="E62" i="34"/>
  <c r="D62" i="34"/>
  <c r="C62" i="34"/>
  <c r="B62" i="34"/>
  <c r="AC61" i="34"/>
  <c r="AB61" i="34"/>
  <c r="AA61" i="34"/>
  <c r="Z61" i="34"/>
  <c r="Y61" i="34"/>
  <c r="X61" i="34"/>
  <c r="W61" i="34"/>
  <c r="V61" i="34"/>
  <c r="U61" i="34"/>
  <c r="T61" i="34"/>
  <c r="S61" i="34"/>
  <c r="R61" i="34"/>
  <c r="Q61" i="34"/>
  <c r="P61" i="34"/>
  <c r="O61" i="34"/>
  <c r="N61" i="34"/>
  <c r="M61" i="34"/>
  <c r="L61" i="34"/>
  <c r="K61" i="34"/>
  <c r="J61" i="34"/>
  <c r="I61" i="34"/>
  <c r="H61" i="34"/>
  <c r="G61" i="34"/>
  <c r="F61" i="34"/>
  <c r="E61" i="34"/>
  <c r="D61" i="34"/>
  <c r="C61" i="34"/>
  <c r="B61" i="34"/>
  <c r="AC60" i="34"/>
  <c r="AB60" i="34"/>
  <c r="AA60" i="34"/>
  <c r="Z60" i="34"/>
  <c r="Y60" i="34"/>
  <c r="X60" i="34"/>
  <c r="W60" i="34"/>
  <c r="V60" i="34"/>
  <c r="U60" i="34"/>
  <c r="T60" i="34"/>
  <c r="S60" i="34"/>
  <c r="R60" i="34"/>
  <c r="Q60" i="34"/>
  <c r="P60" i="34"/>
  <c r="O60" i="34"/>
  <c r="N60" i="34"/>
  <c r="M60" i="34"/>
  <c r="L60" i="34"/>
  <c r="K60" i="34"/>
  <c r="J60" i="34"/>
  <c r="I60" i="34"/>
  <c r="H60" i="34"/>
  <c r="G60" i="34"/>
  <c r="F60" i="34"/>
  <c r="E60" i="34"/>
  <c r="D60" i="34"/>
  <c r="C60" i="34"/>
  <c r="B60"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B59" i="34"/>
  <c r="AC56" i="34"/>
  <c r="AC58" i="34" s="1"/>
  <c r="AB56" i="34"/>
  <c r="AA56" i="34"/>
  <c r="AA58" i="34" s="1"/>
  <c r="Z56" i="34"/>
  <c r="Z58" i="34" s="1"/>
  <c r="Y56" i="34"/>
  <c r="Y58" i="34" s="1"/>
  <c r="X56" i="34"/>
  <c r="X58" i="34" s="1"/>
  <c r="W56" i="34"/>
  <c r="W58" i="34" s="1"/>
  <c r="V56" i="34"/>
  <c r="V58" i="34" s="1"/>
  <c r="U56" i="34"/>
  <c r="U58" i="34" s="1"/>
  <c r="T56" i="34"/>
  <c r="T58" i="34" s="1"/>
  <c r="S56" i="34"/>
  <c r="S58" i="34" s="1"/>
  <c r="R56" i="34"/>
  <c r="R58" i="34" s="1"/>
  <c r="Q56" i="34"/>
  <c r="P56" i="34"/>
  <c r="O56" i="34"/>
  <c r="N56" i="34"/>
  <c r="N58" i="34" s="1"/>
  <c r="M56" i="34"/>
  <c r="L56" i="34"/>
  <c r="L58" i="34" s="1"/>
  <c r="K56" i="34"/>
  <c r="K58" i="34" s="1"/>
  <c r="J56" i="34"/>
  <c r="J58" i="34" s="1"/>
  <c r="I56" i="34"/>
  <c r="I58" i="34" s="1"/>
  <c r="H56" i="34"/>
  <c r="H58" i="34" s="1"/>
  <c r="G56" i="34"/>
  <c r="G58" i="34" s="1"/>
  <c r="F56" i="34"/>
  <c r="F58" i="34" s="1"/>
  <c r="E56" i="34"/>
  <c r="E58" i="34" s="1"/>
  <c r="D56" i="34"/>
  <c r="D58" i="34" s="1"/>
  <c r="C58" i="34" s="1"/>
  <c r="B58" i="34" s="1"/>
  <c r="C56" i="34"/>
  <c r="B56" i="34"/>
  <c r="AB71" i="32"/>
  <c r="AA71" i="32"/>
  <c r="Z71" i="32"/>
  <c r="Y71" i="32"/>
  <c r="X71" i="32"/>
  <c r="W71" i="32"/>
  <c r="V71" i="32"/>
  <c r="U71" i="32"/>
  <c r="T71" i="32"/>
  <c r="S71" i="32"/>
  <c r="R71" i="32"/>
  <c r="Q71" i="32"/>
  <c r="P71" i="32"/>
  <c r="O71" i="32"/>
  <c r="N71" i="32"/>
  <c r="M71" i="32"/>
  <c r="L71" i="32"/>
  <c r="K71" i="32"/>
  <c r="J71" i="32"/>
  <c r="I71" i="32"/>
  <c r="H71" i="32"/>
  <c r="G71" i="32"/>
  <c r="F71" i="32"/>
  <c r="E71" i="32"/>
  <c r="D71" i="32"/>
  <c r="C71" i="32"/>
  <c r="B71" i="32"/>
  <c r="AB70" i="32"/>
  <c r="AA70" i="32"/>
  <c r="Z70" i="32"/>
  <c r="Y70" i="32"/>
  <c r="X70" i="32"/>
  <c r="W70" i="32"/>
  <c r="V70" i="32"/>
  <c r="U70" i="32"/>
  <c r="T70" i="32"/>
  <c r="S70" i="32"/>
  <c r="R70" i="32"/>
  <c r="Q70" i="32"/>
  <c r="P70" i="32"/>
  <c r="O70" i="32"/>
  <c r="N70" i="32"/>
  <c r="M70" i="32"/>
  <c r="L70" i="32"/>
  <c r="K70" i="32"/>
  <c r="J70" i="32"/>
  <c r="I70" i="32"/>
  <c r="H70" i="32"/>
  <c r="G70" i="32"/>
  <c r="F70" i="32"/>
  <c r="E70" i="32"/>
  <c r="D70" i="32"/>
  <c r="C70" i="32"/>
  <c r="B70" i="32"/>
  <c r="AB67" i="32"/>
  <c r="AA67" i="32"/>
  <c r="Z67" i="32"/>
  <c r="Y67" i="32"/>
  <c r="X67" i="32"/>
  <c r="W67" i="32"/>
  <c r="V67" i="32"/>
  <c r="U67" i="32"/>
  <c r="T67" i="32"/>
  <c r="S67" i="32"/>
  <c r="R67" i="32"/>
  <c r="Q67" i="32"/>
  <c r="P67" i="32"/>
  <c r="O67" i="32"/>
  <c r="N67" i="32"/>
  <c r="M67" i="32"/>
  <c r="L67" i="32"/>
  <c r="K67" i="32"/>
  <c r="J67" i="32"/>
  <c r="I67" i="32"/>
  <c r="H67" i="32"/>
  <c r="G67" i="32"/>
  <c r="F67" i="32"/>
  <c r="E67" i="32"/>
  <c r="D67" i="32"/>
  <c r="C67" i="32"/>
  <c r="AC66" i="32"/>
  <c r="AB66" i="32"/>
  <c r="AA66" i="32"/>
  <c r="Z66" i="32"/>
  <c r="Y66" i="32"/>
  <c r="X66" i="32"/>
  <c r="W66" i="32"/>
  <c r="V66" i="32"/>
  <c r="U66" i="32"/>
  <c r="T66" i="32"/>
  <c r="S66" i="32"/>
  <c r="R66" i="32"/>
  <c r="Q66" i="32"/>
  <c r="P66" i="32"/>
  <c r="O66" i="32"/>
  <c r="N66" i="32"/>
  <c r="M66" i="32"/>
  <c r="L66" i="32"/>
  <c r="K66" i="32"/>
  <c r="J66" i="32"/>
  <c r="I66" i="32"/>
  <c r="H66" i="32"/>
  <c r="G66" i="32"/>
  <c r="F66" i="32"/>
  <c r="E66" i="32"/>
  <c r="D66" i="32"/>
  <c r="C66" i="32"/>
  <c r="B66"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B65" i="32"/>
  <c r="AC64" i="32"/>
  <c r="AB64" i="32"/>
  <c r="AA64" i="32"/>
  <c r="Z64" i="32"/>
  <c r="Y64" i="32"/>
  <c r="X64" i="32"/>
  <c r="W64" i="32"/>
  <c r="V64" i="32"/>
  <c r="U64" i="32"/>
  <c r="T64" i="32"/>
  <c r="S64" i="32"/>
  <c r="R64" i="32"/>
  <c r="Q64" i="32"/>
  <c r="P64" i="32"/>
  <c r="O64" i="32"/>
  <c r="N64" i="32"/>
  <c r="M64" i="32"/>
  <c r="L64" i="32"/>
  <c r="K64" i="32"/>
  <c r="J64" i="32"/>
  <c r="I64" i="32"/>
  <c r="H64" i="32"/>
  <c r="G64" i="32"/>
  <c r="F64" i="32"/>
  <c r="E64" i="32"/>
  <c r="D64" i="32"/>
  <c r="C64" i="32"/>
  <c r="B64" i="32"/>
  <c r="AC63" i="32"/>
  <c r="AB63" i="32"/>
  <c r="AA63" i="32"/>
  <c r="Z63" i="32"/>
  <c r="Y63" i="32"/>
  <c r="X63" i="32"/>
  <c r="W63" i="32"/>
  <c r="V63" i="32"/>
  <c r="U63" i="32"/>
  <c r="T63" i="32"/>
  <c r="S63" i="32"/>
  <c r="R63" i="32"/>
  <c r="Q63" i="32"/>
  <c r="P63" i="32"/>
  <c r="O63" i="32"/>
  <c r="N63" i="32"/>
  <c r="M63" i="32"/>
  <c r="L63" i="32"/>
  <c r="K63" i="32"/>
  <c r="J63" i="32"/>
  <c r="I63" i="32"/>
  <c r="H63" i="32"/>
  <c r="G63" i="32"/>
  <c r="F63" i="32"/>
  <c r="E63" i="32"/>
  <c r="D63" i="32"/>
  <c r="C63" i="32"/>
  <c r="B63" i="32"/>
  <c r="AC62" i="32"/>
  <c r="AB62" i="32"/>
  <c r="AA62" i="32"/>
  <c r="Z62" i="32"/>
  <c r="Y62" i="32"/>
  <c r="X62" i="32"/>
  <c r="W62" i="32"/>
  <c r="V62" i="32"/>
  <c r="U62" i="32"/>
  <c r="T62" i="32"/>
  <c r="S62" i="32"/>
  <c r="R62" i="32"/>
  <c r="Q62" i="32"/>
  <c r="P62" i="32"/>
  <c r="O62" i="32"/>
  <c r="N62" i="32"/>
  <c r="M62" i="32"/>
  <c r="L62" i="32"/>
  <c r="K62" i="32"/>
  <c r="J62" i="32"/>
  <c r="I62" i="32"/>
  <c r="H62" i="32"/>
  <c r="G62" i="32"/>
  <c r="F62" i="32"/>
  <c r="E62" i="32"/>
  <c r="D62" i="32"/>
  <c r="C62" i="32"/>
  <c r="B62" i="32"/>
  <c r="AC61" i="32"/>
  <c r="AB61" i="32"/>
  <c r="AA61" i="32"/>
  <c r="Z61" i="32"/>
  <c r="Y61" i="32"/>
  <c r="X61" i="32"/>
  <c r="W61" i="32"/>
  <c r="V61" i="32"/>
  <c r="U61" i="32"/>
  <c r="T61" i="32"/>
  <c r="S61" i="32"/>
  <c r="R61" i="32"/>
  <c r="Q61" i="32"/>
  <c r="P61" i="32"/>
  <c r="O61" i="32"/>
  <c r="N61" i="32"/>
  <c r="M61" i="32"/>
  <c r="L61" i="32"/>
  <c r="K61" i="32"/>
  <c r="J61" i="32"/>
  <c r="I61" i="32"/>
  <c r="H61" i="32"/>
  <c r="G61" i="32"/>
  <c r="F61" i="32"/>
  <c r="E61" i="32"/>
  <c r="D61" i="32"/>
  <c r="C61" i="32"/>
  <c r="B61" i="32"/>
  <c r="AC60" i="32"/>
  <c r="AB60" i="32"/>
  <c r="AA60" i="32"/>
  <c r="Z60" i="32"/>
  <c r="Y60" i="32"/>
  <c r="X60" i="32"/>
  <c r="W60" i="32"/>
  <c r="V60" i="32"/>
  <c r="U60" i="32"/>
  <c r="T60" i="32"/>
  <c r="S60" i="32"/>
  <c r="R60" i="32"/>
  <c r="Q60" i="32"/>
  <c r="P60" i="32"/>
  <c r="O60" i="32"/>
  <c r="N60" i="32"/>
  <c r="M60" i="32"/>
  <c r="L60" i="32"/>
  <c r="K60" i="32"/>
  <c r="J60" i="32"/>
  <c r="I60" i="32"/>
  <c r="H60" i="32"/>
  <c r="G60" i="32"/>
  <c r="F60" i="32"/>
  <c r="E60" i="32"/>
  <c r="D60" i="32"/>
  <c r="C60" i="32"/>
  <c r="B60" i="32"/>
  <c r="AC59" i="32"/>
  <c r="AB59" i="32"/>
  <c r="AA59" i="32"/>
  <c r="Z59" i="32"/>
  <c r="Y59" i="32"/>
  <c r="X59" i="32"/>
  <c r="W59" i="32"/>
  <c r="V59" i="32"/>
  <c r="U59" i="32"/>
  <c r="T59" i="32"/>
  <c r="S59" i="32"/>
  <c r="R59" i="32"/>
  <c r="Q59" i="32"/>
  <c r="P59" i="32"/>
  <c r="O59" i="32"/>
  <c r="N59" i="32"/>
  <c r="M59" i="32"/>
  <c r="L59" i="32"/>
  <c r="K59" i="32"/>
  <c r="J59" i="32"/>
  <c r="I59" i="32"/>
  <c r="H59" i="32"/>
  <c r="G59" i="32"/>
  <c r="F59" i="32"/>
  <c r="E59" i="32"/>
  <c r="D59" i="32"/>
  <c r="C59" i="32"/>
  <c r="B59" i="32"/>
  <c r="AC56" i="32"/>
  <c r="AB56" i="32"/>
  <c r="AA56" i="32"/>
  <c r="AA58" i="32" s="1"/>
  <c r="Z56" i="32"/>
  <c r="Y56" i="32"/>
  <c r="X56" i="32"/>
  <c r="W56" i="32"/>
  <c r="W58" i="32" s="1"/>
  <c r="V56" i="32"/>
  <c r="U56" i="32"/>
  <c r="U58" i="32" s="1"/>
  <c r="T56" i="32"/>
  <c r="T58" i="32" s="1"/>
  <c r="S56" i="32"/>
  <c r="S58" i="32" s="1"/>
  <c r="R56" i="32"/>
  <c r="R58" i="32" s="1"/>
  <c r="Q56" i="32"/>
  <c r="Q58" i="32" s="1"/>
  <c r="P56" i="32"/>
  <c r="P58" i="32" s="1"/>
  <c r="O56" i="32"/>
  <c r="O58" i="32" s="1"/>
  <c r="N56" i="32"/>
  <c r="M56" i="32"/>
  <c r="L56" i="32"/>
  <c r="L58" i="32" s="1"/>
  <c r="K56" i="32"/>
  <c r="K58" i="32" s="1"/>
  <c r="J56" i="32"/>
  <c r="I56" i="32"/>
  <c r="I58" i="32" s="1"/>
  <c r="H56" i="32"/>
  <c r="H58" i="32" s="1"/>
  <c r="G56" i="32"/>
  <c r="G58" i="32" s="1"/>
  <c r="F56" i="32"/>
  <c r="E56" i="32"/>
  <c r="D56" i="32"/>
  <c r="D58" i="32" s="1"/>
  <c r="C58" i="32" s="1"/>
  <c r="B58" i="32" s="1"/>
  <c r="C56" i="32"/>
  <c r="B56" i="32"/>
  <c r="AB72" i="48"/>
  <c r="AA72" i="48"/>
  <c r="Z72" i="48"/>
  <c r="Y72" i="48"/>
  <c r="X72" i="48"/>
  <c r="W72" i="48"/>
  <c r="V72" i="48"/>
  <c r="U72" i="48"/>
  <c r="T72" i="48"/>
  <c r="S72" i="48"/>
  <c r="R72" i="48"/>
  <c r="Q72" i="48"/>
  <c r="P72" i="48"/>
  <c r="O72" i="48"/>
  <c r="N72" i="48"/>
  <c r="M72" i="48"/>
  <c r="L72" i="48"/>
  <c r="K72" i="48"/>
  <c r="J72" i="48"/>
  <c r="I72" i="48"/>
  <c r="H72" i="48"/>
  <c r="G72" i="48"/>
  <c r="F72" i="48"/>
  <c r="E72" i="48"/>
  <c r="D72" i="48"/>
  <c r="C72" i="48"/>
  <c r="B72" i="48"/>
  <c r="AB71" i="48"/>
  <c r="AA71" i="48"/>
  <c r="Z71" i="48"/>
  <c r="Y71" i="48"/>
  <c r="X71" i="48"/>
  <c r="W71" i="48"/>
  <c r="V71" i="48"/>
  <c r="U71" i="48"/>
  <c r="T71" i="48"/>
  <c r="S71" i="48"/>
  <c r="R71" i="48"/>
  <c r="Q71" i="48"/>
  <c r="P71" i="48"/>
  <c r="O71" i="48"/>
  <c r="N71" i="48"/>
  <c r="M71" i="48"/>
  <c r="L71" i="48"/>
  <c r="K71" i="48"/>
  <c r="J71" i="48"/>
  <c r="I71" i="48"/>
  <c r="H71" i="48"/>
  <c r="G71" i="48"/>
  <c r="F71" i="48"/>
  <c r="E71" i="48"/>
  <c r="D71" i="48"/>
  <c r="C71" i="48"/>
  <c r="B71" i="48"/>
  <c r="AB70" i="48"/>
  <c r="AA70" i="48"/>
  <c r="Z70" i="48"/>
  <c r="Y70" i="48"/>
  <c r="X70" i="48"/>
  <c r="W70" i="48"/>
  <c r="V70" i="48"/>
  <c r="U70" i="48"/>
  <c r="T70" i="48"/>
  <c r="S70" i="48"/>
  <c r="R70" i="48"/>
  <c r="Q70" i="48"/>
  <c r="P70" i="48"/>
  <c r="O70" i="48"/>
  <c r="N70" i="48"/>
  <c r="M70" i="48"/>
  <c r="L70" i="48"/>
  <c r="K70" i="48"/>
  <c r="J70" i="48"/>
  <c r="I70" i="48"/>
  <c r="H70" i="48"/>
  <c r="G70" i="48"/>
  <c r="F70" i="48"/>
  <c r="E70" i="48"/>
  <c r="D70" i="48"/>
  <c r="C70" i="48"/>
  <c r="B70" i="48"/>
  <c r="AB67" i="48"/>
  <c r="AA67" i="48"/>
  <c r="Z67" i="48"/>
  <c r="Y67" i="48"/>
  <c r="X67" i="48"/>
  <c r="W67" i="48"/>
  <c r="V67" i="48"/>
  <c r="U67" i="48"/>
  <c r="T67" i="48"/>
  <c r="S67" i="48"/>
  <c r="R67" i="48"/>
  <c r="Q67" i="48"/>
  <c r="P67" i="48"/>
  <c r="O67" i="48"/>
  <c r="N67" i="48"/>
  <c r="M67" i="48"/>
  <c r="L67" i="48"/>
  <c r="K67" i="48"/>
  <c r="J67" i="48"/>
  <c r="I67" i="48"/>
  <c r="H67" i="48"/>
  <c r="G67" i="48"/>
  <c r="F67" i="48"/>
  <c r="E67" i="48"/>
  <c r="D67" i="48"/>
  <c r="C67" i="48"/>
  <c r="B67" i="48"/>
  <c r="AC66" i="48"/>
  <c r="AB66" i="48"/>
  <c r="AA66" i="48"/>
  <c r="Z66" i="48"/>
  <c r="Y66" i="48"/>
  <c r="X66" i="48"/>
  <c r="W66" i="48"/>
  <c r="V66" i="48"/>
  <c r="U66" i="48"/>
  <c r="T66" i="48"/>
  <c r="S66" i="48"/>
  <c r="R66" i="48"/>
  <c r="Q66" i="48"/>
  <c r="P66" i="48"/>
  <c r="O66" i="48"/>
  <c r="N66" i="48"/>
  <c r="M66" i="48"/>
  <c r="L66" i="48"/>
  <c r="K66" i="48"/>
  <c r="J66" i="48"/>
  <c r="I66" i="48"/>
  <c r="H66" i="48"/>
  <c r="G66" i="48"/>
  <c r="F66" i="48"/>
  <c r="E66" i="48"/>
  <c r="D66" i="48"/>
  <c r="C66" i="48"/>
  <c r="B66" i="48"/>
  <c r="AC65" i="48"/>
  <c r="AB65" i="48"/>
  <c r="AA65" i="48"/>
  <c r="Z65" i="48"/>
  <c r="Y65" i="48"/>
  <c r="X65" i="48"/>
  <c r="W65" i="48"/>
  <c r="V65" i="48"/>
  <c r="U65" i="48"/>
  <c r="T65" i="48"/>
  <c r="S65" i="48"/>
  <c r="R65" i="48"/>
  <c r="Q65" i="48"/>
  <c r="P65" i="48"/>
  <c r="O65" i="48"/>
  <c r="N65" i="48"/>
  <c r="M65" i="48"/>
  <c r="L65" i="48"/>
  <c r="K65" i="48"/>
  <c r="J65" i="48"/>
  <c r="I65" i="48"/>
  <c r="H65" i="48"/>
  <c r="G65" i="48"/>
  <c r="F65" i="48"/>
  <c r="E65" i="48"/>
  <c r="D65" i="48"/>
  <c r="C65" i="48"/>
  <c r="B65" i="48"/>
  <c r="AC64" i="48"/>
  <c r="AB64" i="48"/>
  <c r="AA64" i="48"/>
  <c r="Z64" i="48"/>
  <c r="Y64" i="48"/>
  <c r="X64" i="48"/>
  <c r="W64" i="48"/>
  <c r="V64" i="48"/>
  <c r="U64" i="48"/>
  <c r="T64" i="48"/>
  <c r="S64" i="48"/>
  <c r="R64" i="48"/>
  <c r="Q64" i="48"/>
  <c r="P64" i="48"/>
  <c r="O64" i="48"/>
  <c r="N64" i="48"/>
  <c r="M64" i="48"/>
  <c r="L64" i="48"/>
  <c r="K64" i="48"/>
  <c r="J64" i="48"/>
  <c r="I64" i="48"/>
  <c r="H64" i="48"/>
  <c r="G64" i="48"/>
  <c r="F64" i="48"/>
  <c r="E64" i="48"/>
  <c r="D64" i="48"/>
  <c r="C64" i="48"/>
  <c r="B64" i="48"/>
  <c r="AC63" i="48"/>
  <c r="AB63" i="48"/>
  <c r="AA63" i="48"/>
  <c r="Z63" i="48"/>
  <c r="Y63" i="48"/>
  <c r="X63" i="48"/>
  <c r="W63" i="48"/>
  <c r="V63" i="48"/>
  <c r="U63" i="48"/>
  <c r="T63" i="48"/>
  <c r="S63" i="48"/>
  <c r="R63" i="48"/>
  <c r="Q63" i="48"/>
  <c r="P63" i="48"/>
  <c r="O63" i="48"/>
  <c r="N63" i="48"/>
  <c r="M63" i="48"/>
  <c r="L63" i="48"/>
  <c r="K63" i="48"/>
  <c r="J63" i="48"/>
  <c r="I63" i="48"/>
  <c r="H63" i="48"/>
  <c r="G63" i="48"/>
  <c r="F63" i="48"/>
  <c r="E63" i="48"/>
  <c r="D63" i="48"/>
  <c r="C63" i="48"/>
  <c r="B63" i="48"/>
  <c r="AC62" i="48"/>
  <c r="AB62" i="48"/>
  <c r="AA62" i="48"/>
  <c r="Z62" i="48"/>
  <c r="Y62" i="48"/>
  <c r="X62" i="48"/>
  <c r="W62" i="48"/>
  <c r="V62" i="48"/>
  <c r="U62" i="48"/>
  <c r="T62" i="48"/>
  <c r="S62" i="48"/>
  <c r="R62" i="48"/>
  <c r="Q62" i="48"/>
  <c r="P62" i="48"/>
  <c r="O62" i="48"/>
  <c r="N62" i="48"/>
  <c r="M62" i="48"/>
  <c r="L62" i="48"/>
  <c r="K62" i="48"/>
  <c r="J62" i="48"/>
  <c r="I62" i="48"/>
  <c r="H62" i="48"/>
  <c r="G62" i="48"/>
  <c r="F62" i="48"/>
  <c r="E62" i="48"/>
  <c r="D62" i="48"/>
  <c r="C62" i="48"/>
  <c r="B62" i="48"/>
  <c r="AC61" i="48"/>
  <c r="AB61" i="48"/>
  <c r="AA61" i="48"/>
  <c r="Z61" i="48"/>
  <c r="Y61" i="48"/>
  <c r="X61" i="48"/>
  <c r="W61" i="48"/>
  <c r="V61" i="48"/>
  <c r="U61" i="48"/>
  <c r="T61" i="48"/>
  <c r="S61" i="48"/>
  <c r="R61" i="48"/>
  <c r="Q61" i="48"/>
  <c r="P61" i="48"/>
  <c r="O61" i="48"/>
  <c r="N61" i="48"/>
  <c r="M61" i="48"/>
  <c r="L61" i="48"/>
  <c r="K61" i="48"/>
  <c r="J61" i="48"/>
  <c r="I61" i="48"/>
  <c r="H61" i="48"/>
  <c r="G61" i="48"/>
  <c r="F61" i="48"/>
  <c r="E61" i="48"/>
  <c r="D61" i="48"/>
  <c r="C61" i="48"/>
  <c r="B61" i="48"/>
  <c r="AC60" i="48"/>
  <c r="AB60" i="48"/>
  <c r="AA60" i="48"/>
  <c r="Z60" i="48"/>
  <c r="Y60" i="48"/>
  <c r="X60" i="48"/>
  <c r="W60" i="48"/>
  <c r="V60" i="48"/>
  <c r="U60" i="48"/>
  <c r="T60" i="48"/>
  <c r="S60" i="48"/>
  <c r="R60" i="48"/>
  <c r="Q60" i="48"/>
  <c r="P60" i="48"/>
  <c r="O60" i="48"/>
  <c r="N60" i="48"/>
  <c r="M60" i="48"/>
  <c r="L60" i="48"/>
  <c r="K60" i="48"/>
  <c r="J60" i="48"/>
  <c r="I60" i="48"/>
  <c r="H60" i="48"/>
  <c r="G60" i="48"/>
  <c r="F60" i="48"/>
  <c r="E60" i="48"/>
  <c r="D60" i="48"/>
  <c r="C60" i="48"/>
  <c r="B60" i="48"/>
  <c r="AC59" i="48"/>
  <c r="AB59" i="48"/>
  <c r="AA59" i="48"/>
  <c r="Z59" i="48"/>
  <c r="Y59" i="48"/>
  <c r="X59" i="48"/>
  <c r="W59" i="48"/>
  <c r="V59" i="48"/>
  <c r="U59" i="48"/>
  <c r="T59" i="48"/>
  <c r="S59" i="48"/>
  <c r="R59" i="48"/>
  <c r="Q59" i="48"/>
  <c r="P59" i="48"/>
  <c r="O59" i="48"/>
  <c r="N59" i="48"/>
  <c r="M59" i="48"/>
  <c r="L59" i="48"/>
  <c r="K59" i="48"/>
  <c r="J59" i="48"/>
  <c r="I59" i="48"/>
  <c r="H59" i="48"/>
  <c r="G59" i="48"/>
  <c r="F59" i="48"/>
  <c r="E59" i="48"/>
  <c r="D59" i="48"/>
  <c r="C59" i="48"/>
  <c r="B59" i="48"/>
  <c r="AC56" i="48"/>
  <c r="AB56" i="48"/>
  <c r="AB58" i="48" s="1"/>
  <c r="AA56" i="48"/>
  <c r="AA58" i="48" s="1"/>
  <c r="Z56" i="48"/>
  <c r="Z58" i="48" s="1"/>
  <c r="Y56" i="48"/>
  <c r="Y58" i="48" s="1"/>
  <c r="X56" i="48"/>
  <c r="X58" i="48" s="1"/>
  <c r="W56" i="48"/>
  <c r="W58" i="48" s="1"/>
  <c r="V56" i="48"/>
  <c r="V58" i="48" s="1"/>
  <c r="U56" i="48"/>
  <c r="U58" i="48" s="1"/>
  <c r="T56" i="48"/>
  <c r="T58" i="48" s="1"/>
  <c r="S56" i="48"/>
  <c r="S58" i="48" s="1"/>
  <c r="R56" i="48"/>
  <c r="R58" i="48" s="1"/>
  <c r="Q56" i="48"/>
  <c r="Q58" i="48" s="1"/>
  <c r="P56" i="48"/>
  <c r="O56" i="48"/>
  <c r="O58" i="48" s="1"/>
  <c r="N56" i="48"/>
  <c r="N58" i="48" s="1"/>
  <c r="M56" i="48"/>
  <c r="L56" i="48"/>
  <c r="L58" i="48" s="1"/>
  <c r="K56" i="48"/>
  <c r="K58" i="48" s="1"/>
  <c r="J56" i="48"/>
  <c r="J58" i="48" s="1"/>
  <c r="I56" i="48"/>
  <c r="I58" i="48" s="1"/>
  <c r="H56" i="48"/>
  <c r="H58" i="48" s="1"/>
  <c r="G56" i="48"/>
  <c r="G58" i="48" s="1"/>
  <c r="F56" i="48"/>
  <c r="F58" i="48" s="1"/>
  <c r="E56" i="48"/>
  <c r="E58" i="48" s="1"/>
  <c r="D56" i="48"/>
  <c r="D58" i="48" s="1"/>
  <c r="C58" i="48" s="1"/>
  <c r="B58" i="48" s="1"/>
  <c r="C56" i="48"/>
  <c r="B56" i="48"/>
  <c r="AB72" i="47"/>
  <c r="AA72" i="47"/>
  <c r="Z72" i="47"/>
  <c r="Y72" i="47"/>
  <c r="X72" i="47"/>
  <c r="W72" i="47"/>
  <c r="V72" i="47"/>
  <c r="U72" i="47"/>
  <c r="T72" i="47"/>
  <c r="S72" i="47"/>
  <c r="R72" i="47"/>
  <c r="Q72" i="47"/>
  <c r="P72" i="47"/>
  <c r="O72" i="47"/>
  <c r="N72" i="47"/>
  <c r="M72" i="47"/>
  <c r="L72" i="47"/>
  <c r="K72" i="47"/>
  <c r="J72" i="47"/>
  <c r="I72" i="47"/>
  <c r="H72" i="47"/>
  <c r="G72" i="47"/>
  <c r="F72" i="47"/>
  <c r="E72" i="47"/>
  <c r="D72" i="47"/>
  <c r="C72" i="47"/>
  <c r="B72" i="47"/>
  <c r="AB71" i="47"/>
  <c r="AA71" i="47"/>
  <c r="Z71" i="47"/>
  <c r="Y71" i="47"/>
  <c r="X71" i="47"/>
  <c r="W71" i="47"/>
  <c r="V71" i="47"/>
  <c r="U71" i="47"/>
  <c r="T71" i="47"/>
  <c r="S71" i="47"/>
  <c r="R71" i="47"/>
  <c r="Q71" i="47"/>
  <c r="P71" i="47"/>
  <c r="O71" i="47"/>
  <c r="N71" i="47"/>
  <c r="M71" i="47"/>
  <c r="L71" i="47"/>
  <c r="K71" i="47"/>
  <c r="J71" i="47"/>
  <c r="I71" i="47"/>
  <c r="H71" i="47"/>
  <c r="G71" i="47"/>
  <c r="F71" i="47"/>
  <c r="E71" i="47"/>
  <c r="D71" i="47"/>
  <c r="C71" i="47"/>
  <c r="B71" i="47"/>
  <c r="AB70" i="47"/>
  <c r="AA70" i="47"/>
  <c r="Z70" i="47"/>
  <c r="Y70" i="47"/>
  <c r="X70" i="47"/>
  <c r="W70" i="47"/>
  <c r="V70" i="47"/>
  <c r="U70" i="47"/>
  <c r="T70" i="47"/>
  <c r="S70" i="47"/>
  <c r="R70" i="47"/>
  <c r="Q70" i="47"/>
  <c r="P70" i="47"/>
  <c r="O70" i="47"/>
  <c r="N70" i="47"/>
  <c r="M70" i="47"/>
  <c r="L70" i="47"/>
  <c r="K70" i="47"/>
  <c r="J70" i="47"/>
  <c r="I70" i="47"/>
  <c r="H70" i="47"/>
  <c r="G70" i="47"/>
  <c r="F70" i="47"/>
  <c r="E70" i="47"/>
  <c r="D70" i="47"/>
  <c r="C70" i="47"/>
  <c r="B70" i="47"/>
  <c r="AB67" i="47"/>
  <c r="AA67" i="47"/>
  <c r="Z67" i="47"/>
  <c r="Y67" i="47"/>
  <c r="X67" i="47"/>
  <c r="W67" i="47"/>
  <c r="V67" i="47"/>
  <c r="U67" i="47"/>
  <c r="T67" i="47"/>
  <c r="S67" i="47"/>
  <c r="R67" i="47"/>
  <c r="Q67" i="47"/>
  <c r="P67" i="47"/>
  <c r="O67" i="47"/>
  <c r="N67" i="47"/>
  <c r="M67" i="47"/>
  <c r="L67" i="47"/>
  <c r="K67" i="47"/>
  <c r="J67" i="47"/>
  <c r="I67" i="47"/>
  <c r="H67" i="47"/>
  <c r="G67" i="47"/>
  <c r="F67" i="47"/>
  <c r="E67" i="47"/>
  <c r="D67" i="47"/>
  <c r="C67" i="47"/>
  <c r="B67" i="47"/>
  <c r="AC66" i="47"/>
  <c r="AB66" i="47"/>
  <c r="AA66" i="47"/>
  <c r="Z66" i="47"/>
  <c r="Y66" i="47"/>
  <c r="X66" i="47"/>
  <c r="W66" i="47"/>
  <c r="V66" i="47"/>
  <c r="U66" i="47"/>
  <c r="T66" i="47"/>
  <c r="S66" i="47"/>
  <c r="R66" i="47"/>
  <c r="Q66" i="47"/>
  <c r="P66" i="47"/>
  <c r="O66" i="47"/>
  <c r="N66" i="47"/>
  <c r="M66" i="47"/>
  <c r="L66" i="47"/>
  <c r="K66" i="47"/>
  <c r="J66" i="47"/>
  <c r="I66" i="47"/>
  <c r="H66" i="47"/>
  <c r="G66" i="47"/>
  <c r="F66" i="47"/>
  <c r="E66" i="47"/>
  <c r="D66" i="47"/>
  <c r="C66" i="47"/>
  <c r="B66" i="47"/>
  <c r="AC65" i="47"/>
  <c r="AB65" i="47"/>
  <c r="AA65" i="47"/>
  <c r="Z65" i="47"/>
  <c r="Y65" i="47"/>
  <c r="X65" i="47"/>
  <c r="W65" i="47"/>
  <c r="V65" i="47"/>
  <c r="U65" i="47"/>
  <c r="T65" i="47"/>
  <c r="S65" i="47"/>
  <c r="R65" i="47"/>
  <c r="Q65" i="47"/>
  <c r="P65" i="47"/>
  <c r="O65" i="47"/>
  <c r="N65" i="47"/>
  <c r="M65" i="47"/>
  <c r="L65" i="47"/>
  <c r="K65" i="47"/>
  <c r="J65" i="47"/>
  <c r="I65" i="47"/>
  <c r="H65" i="47"/>
  <c r="G65" i="47"/>
  <c r="F65" i="47"/>
  <c r="E65" i="47"/>
  <c r="D65" i="47"/>
  <c r="C65" i="47"/>
  <c r="B65" i="47"/>
  <c r="AC64" i="47"/>
  <c r="AB64" i="47"/>
  <c r="AA64" i="47"/>
  <c r="Z64" i="47"/>
  <c r="Y64" i="47"/>
  <c r="X64" i="47"/>
  <c r="W64" i="47"/>
  <c r="V64" i="47"/>
  <c r="U64" i="47"/>
  <c r="T64" i="47"/>
  <c r="S64" i="47"/>
  <c r="R64" i="47"/>
  <c r="Q64" i="47"/>
  <c r="P64" i="47"/>
  <c r="O64" i="47"/>
  <c r="N64" i="47"/>
  <c r="M64" i="47"/>
  <c r="L64" i="47"/>
  <c r="K64" i="47"/>
  <c r="J64" i="47"/>
  <c r="I64" i="47"/>
  <c r="H64" i="47"/>
  <c r="G64" i="47"/>
  <c r="F64" i="47"/>
  <c r="E64" i="47"/>
  <c r="D64" i="47"/>
  <c r="C64" i="47"/>
  <c r="B64" i="47"/>
  <c r="AC63" i="47"/>
  <c r="AB63" i="47"/>
  <c r="AA63" i="47"/>
  <c r="Z63" i="47"/>
  <c r="Y63" i="47"/>
  <c r="X63" i="47"/>
  <c r="W63" i="47"/>
  <c r="V63" i="47"/>
  <c r="U63" i="47"/>
  <c r="T63" i="47"/>
  <c r="S63" i="47"/>
  <c r="R63" i="47"/>
  <c r="Q63" i="47"/>
  <c r="P63" i="47"/>
  <c r="O63" i="47"/>
  <c r="N63" i="47"/>
  <c r="M63" i="47"/>
  <c r="L63" i="47"/>
  <c r="K63" i="47"/>
  <c r="J63" i="47"/>
  <c r="I63" i="47"/>
  <c r="H63" i="47"/>
  <c r="G63" i="47"/>
  <c r="F63" i="47"/>
  <c r="E63" i="47"/>
  <c r="D63" i="47"/>
  <c r="C63" i="47"/>
  <c r="B63" i="47"/>
  <c r="AC62" i="47"/>
  <c r="AB62" i="47"/>
  <c r="AA62" i="47"/>
  <c r="Z62" i="47"/>
  <c r="Y62" i="47"/>
  <c r="X62" i="47"/>
  <c r="W62" i="47"/>
  <c r="V62" i="47"/>
  <c r="U62" i="47"/>
  <c r="T62" i="47"/>
  <c r="S62" i="47"/>
  <c r="R62" i="47"/>
  <c r="Q62" i="47"/>
  <c r="P62" i="47"/>
  <c r="O62" i="47"/>
  <c r="N62" i="47"/>
  <c r="M62" i="47"/>
  <c r="L62" i="47"/>
  <c r="K62" i="47"/>
  <c r="J62" i="47"/>
  <c r="I62" i="47"/>
  <c r="H62" i="47"/>
  <c r="G62" i="47"/>
  <c r="F62" i="47"/>
  <c r="E62" i="47"/>
  <c r="D62" i="47"/>
  <c r="C62" i="47"/>
  <c r="B62" i="47"/>
  <c r="AC61" i="47"/>
  <c r="AB61" i="47"/>
  <c r="AA61" i="47"/>
  <c r="Z61" i="47"/>
  <c r="Y61" i="47"/>
  <c r="X61" i="47"/>
  <c r="W61" i="47"/>
  <c r="V61" i="47"/>
  <c r="U61" i="47"/>
  <c r="T61" i="47"/>
  <c r="S61" i="47"/>
  <c r="R61" i="47"/>
  <c r="Q61" i="47"/>
  <c r="P61" i="47"/>
  <c r="O61" i="47"/>
  <c r="N61" i="47"/>
  <c r="M61" i="47"/>
  <c r="L61" i="47"/>
  <c r="K61" i="47"/>
  <c r="J61" i="47"/>
  <c r="I61" i="47"/>
  <c r="H61" i="47"/>
  <c r="G61" i="47"/>
  <c r="F61" i="47"/>
  <c r="E61" i="47"/>
  <c r="D61" i="47"/>
  <c r="C61" i="47"/>
  <c r="B61" i="47"/>
  <c r="AC60" i="47"/>
  <c r="AB60" i="47"/>
  <c r="AA60" i="47"/>
  <c r="Z60" i="47"/>
  <c r="Y60" i="47"/>
  <c r="X60" i="47"/>
  <c r="W60" i="47"/>
  <c r="V60" i="47"/>
  <c r="U60" i="47"/>
  <c r="T60" i="47"/>
  <c r="S60" i="47"/>
  <c r="R60" i="47"/>
  <c r="Q60" i="47"/>
  <c r="P60" i="47"/>
  <c r="O60" i="47"/>
  <c r="N60" i="47"/>
  <c r="M60" i="47"/>
  <c r="L60" i="47"/>
  <c r="K60" i="47"/>
  <c r="J60" i="47"/>
  <c r="I60" i="47"/>
  <c r="H60" i="47"/>
  <c r="G60" i="47"/>
  <c r="F60" i="47"/>
  <c r="E60" i="47"/>
  <c r="D60" i="47"/>
  <c r="C60" i="47"/>
  <c r="B60" i="47"/>
  <c r="AC59" i="47"/>
  <c r="AB59" i="47"/>
  <c r="AA59" i="47"/>
  <c r="Z59" i="47"/>
  <c r="Y59" i="47"/>
  <c r="X59" i="47"/>
  <c r="W59" i="47"/>
  <c r="V59" i="47"/>
  <c r="U59" i="47"/>
  <c r="T59" i="47"/>
  <c r="S59" i="47"/>
  <c r="R59" i="47"/>
  <c r="Q59" i="47"/>
  <c r="P59" i="47"/>
  <c r="O59" i="47"/>
  <c r="N59" i="47"/>
  <c r="M59" i="47"/>
  <c r="L59" i="47"/>
  <c r="K59" i="47"/>
  <c r="J59" i="47"/>
  <c r="I59" i="47"/>
  <c r="H59" i="47"/>
  <c r="G59" i="47"/>
  <c r="F59" i="47"/>
  <c r="E59" i="47"/>
  <c r="D59" i="47"/>
  <c r="C59" i="47"/>
  <c r="B59" i="47"/>
  <c r="AC56" i="47"/>
  <c r="AC58" i="47" s="1"/>
  <c r="AB56" i="47"/>
  <c r="AB58" i="47" s="1"/>
  <c r="AA56" i="47"/>
  <c r="AA58" i="47" s="1"/>
  <c r="Z56" i="47"/>
  <c r="Z58" i="47" s="1"/>
  <c r="Y56" i="47"/>
  <c r="Y58" i="47" s="1"/>
  <c r="X56" i="47"/>
  <c r="W56" i="47"/>
  <c r="W58" i="47" s="1"/>
  <c r="V56" i="47"/>
  <c r="V58" i="47" s="1"/>
  <c r="U56" i="47"/>
  <c r="U58" i="47" s="1"/>
  <c r="T56" i="47"/>
  <c r="T58" i="47" s="1"/>
  <c r="S56" i="47"/>
  <c r="S58" i="47" s="1"/>
  <c r="R56" i="47"/>
  <c r="R58" i="47" s="1"/>
  <c r="Q56" i="47"/>
  <c r="Q58" i="47" s="1"/>
  <c r="P56" i="47"/>
  <c r="P58" i="47" s="1"/>
  <c r="O56" i="47"/>
  <c r="O58" i="47" s="1"/>
  <c r="N56" i="47"/>
  <c r="N58" i="47" s="1"/>
  <c r="M56" i="47"/>
  <c r="L56" i="47"/>
  <c r="K56" i="47"/>
  <c r="K58" i="47" s="1"/>
  <c r="J56" i="47"/>
  <c r="J58" i="47" s="1"/>
  <c r="I56" i="47"/>
  <c r="I58" i="47" s="1"/>
  <c r="H56" i="47"/>
  <c r="G56" i="47"/>
  <c r="G58" i="47" s="1"/>
  <c r="F56" i="47"/>
  <c r="F58" i="47" s="1"/>
  <c r="E56" i="47"/>
  <c r="D56" i="47"/>
  <c r="D58" i="47" s="1"/>
  <c r="C58" i="47" s="1"/>
  <c r="B58" i="47" s="1"/>
  <c r="C56" i="47"/>
  <c r="B56" i="47"/>
  <c r="B72" i="31"/>
  <c r="AB71" i="31"/>
  <c r="AA71" i="31"/>
  <c r="Z71" i="31"/>
  <c r="Y71" i="31"/>
  <c r="X71" i="31"/>
  <c r="W71" i="31"/>
  <c r="V71" i="31"/>
  <c r="U71" i="31"/>
  <c r="T71" i="31"/>
  <c r="S71" i="31"/>
  <c r="R71" i="31"/>
  <c r="Q71" i="31"/>
  <c r="P71" i="31"/>
  <c r="O71" i="31"/>
  <c r="N71" i="31"/>
  <c r="M71" i="31"/>
  <c r="L71" i="31"/>
  <c r="K71" i="31"/>
  <c r="J71" i="31"/>
  <c r="I71" i="31"/>
  <c r="H71" i="31"/>
  <c r="G71" i="31"/>
  <c r="F71" i="31"/>
  <c r="E71" i="31"/>
  <c r="D71" i="31"/>
  <c r="C71" i="31"/>
  <c r="B71" i="31"/>
  <c r="AB70" i="31"/>
  <c r="AA70" i="31"/>
  <c r="Z70" i="31"/>
  <c r="Y70" i="31"/>
  <c r="X70" i="31"/>
  <c r="W70" i="31"/>
  <c r="V70" i="31"/>
  <c r="U70" i="31"/>
  <c r="T70" i="31"/>
  <c r="S70" i="31"/>
  <c r="R70" i="31"/>
  <c r="Q70" i="31"/>
  <c r="P70" i="31"/>
  <c r="O70" i="31"/>
  <c r="N70" i="31"/>
  <c r="M70" i="31"/>
  <c r="L70" i="31"/>
  <c r="K70" i="31"/>
  <c r="J70" i="31"/>
  <c r="I70" i="31"/>
  <c r="H70" i="31"/>
  <c r="G70" i="31"/>
  <c r="F70" i="31"/>
  <c r="E70" i="31"/>
  <c r="D70" i="31"/>
  <c r="C70" i="31"/>
  <c r="B70" i="31"/>
  <c r="AB67" i="31"/>
  <c r="AA67" i="31"/>
  <c r="Z67" i="31"/>
  <c r="Y67" i="31"/>
  <c r="X67" i="31"/>
  <c r="W67" i="31"/>
  <c r="V67" i="31"/>
  <c r="U67" i="31"/>
  <c r="T67" i="31"/>
  <c r="S67" i="31"/>
  <c r="R67" i="31"/>
  <c r="Q67" i="31"/>
  <c r="P67" i="31"/>
  <c r="O67" i="31"/>
  <c r="N67" i="31"/>
  <c r="M67" i="31"/>
  <c r="L67" i="31"/>
  <c r="K67" i="31"/>
  <c r="J67" i="31"/>
  <c r="I67" i="31"/>
  <c r="H67" i="31"/>
  <c r="G67" i="31"/>
  <c r="F67" i="31"/>
  <c r="E67" i="31"/>
  <c r="D67" i="31"/>
  <c r="C67" i="31"/>
  <c r="B67" i="31"/>
  <c r="AC66" i="31"/>
  <c r="AB66" i="31"/>
  <c r="AA66" i="31"/>
  <c r="Z66" i="31"/>
  <c r="Y66" i="31"/>
  <c r="X66" i="31"/>
  <c r="W66" i="31"/>
  <c r="V66" i="31"/>
  <c r="U66" i="31"/>
  <c r="T66" i="31"/>
  <c r="S66" i="31"/>
  <c r="R66" i="31"/>
  <c r="Q66" i="31"/>
  <c r="P66" i="31"/>
  <c r="O66" i="31"/>
  <c r="N66" i="31"/>
  <c r="M66" i="31"/>
  <c r="L66" i="31"/>
  <c r="K66" i="31"/>
  <c r="J66" i="31"/>
  <c r="I66" i="31"/>
  <c r="H66" i="31"/>
  <c r="G66" i="31"/>
  <c r="F66" i="31"/>
  <c r="E66" i="31"/>
  <c r="D66" i="31"/>
  <c r="C66" i="31"/>
  <c r="B66" i="31"/>
  <c r="AC65" i="31"/>
  <c r="AB65" i="31"/>
  <c r="AA65" i="31"/>
  <c r="Z65" i="31"/>
  <c r="Y65" i="31"/>
  <c r="X65" i="31"/>
  <c r="W65" i="31"/>
  <c r="V65" i="31"/>
  <c r="U65" i="31"/>
  <c r="T65" i="31"/>
  <c r="S65" i="31"/>
  <c r="R65" i="31"/>
  <c r="Q65" i="31"/>
  <c r="P65" i="31"/>
  <c r="O65" i="31"/>
  <c r="N65" i="31"/>
  <c r="M65" i="31"/>
  <c r="L65" i="31"/>
  <c r="K65" i="31"/>
  <c r="J65" i="31"/>
  <c r="I65" i="31"/>
  <c r="H65" i="31"/>
  <c r="G65" i="31"/>
  <c r="F65" i="31"/>
  <c r="E65" i="31"/>
  <c r="D65" i="31"/>
  <c r="C65" i="31"/>
  <c r="B65" i="31"/>
  <c r="AC64" i="31"/>
  <c r="AB64" i="31"/>
  <c r="AA64" i="31"/>
  <c r="Z64" i="31"/>
  <c r="Y64" i="31"/>
  <c r="X64" i="31"/>
  <c r="W64" i="31"/>
  <c r="V64" i="31"/>
  <c r="U64" i="31"/>
  <c r="T64" i="31"/>
  <c r="S64" i="31"/>
  <c r="R64" i="31"/>
  <c r="Q64" i="31"/>
  <c r="P64" i="31"/>
  <c r="O64" i="31"/>
  <c r="N64" i="31"/>
  <c r="M64" i="31"/>
  <c r="L64" i="31"/>
  <c r="K64" i="31"/>
  <c r="J64" i="31"/>
  <c r="I64" i="31"/>
  <c r="H64" i="31"/>
  <c r="G64" i="31"/>
  <c r="F64" i="31"/>
  <c r="E64" i="31"/>
  <c r="D64" i="31"/>
  <c r="C64" i="31"/>
  <c r="B64"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C56" i="31"/>
  <c r="AC58" i="31" s="1"/>
  <c r="AB56" i="31"/>
  <c r="AB58" i="31" s="1"/>
  <c r="AA56" i="31"/>
  <c r="AA58" i="31" s="1"/>
  <c r="Z56" i="31"/>
  <c r="Y56" i="31"/>
  <c r="X56" i="31"/>
  <c r="X58" i="31" s="1"/>
  <c r="W56" i="31"/>
  <c r="V56" i="31"/>
  <c r="U56" i="31"/>
  <c r="U58" i="31" s="1"/>
  <c r="T56" i="31"/>
  <c r="T58" i="31" s="1"/>
  <c r="S56" i="31"/>
  <c r="S58" i="31" s="1"/>
  <c r="R56" i="31"/>
  <c r="R58" i="31" s="1"/>
  <c r="Q56" i="31"/>
  <c r="Q58" i="31" s="1"/>
  <c r="P56" i="31"/>
  <c r="P58" i="31" s="1"/>
  <c r="O56" i="31"/>
  <c r="O58" i="31" s="1"/>
  <c r="N56" i="31"/>
  <c r="N58" i="31" s="1"/>
  <c r="M56" i="31"/>
  <c r="M58" i="31" s="1"/>
  <c r="L56" i="31"/>
  <c r="L58" i="31" s="1"/>
  <c r="K56" i="31"/>
  <c r="K58" i="31" s="1"/>
  <c r="J56" i="31"/>
  <c r="J58" i="31" s="1"/>
  <c r="I56" i="31"/>
  <c r="I58" i="31" s="1"/>
  <c r="H56" i="31"/>
  <c r="H58" i="31" s="1"/>
  <c r="G56" i="31"/>
  <c r="G58" i="31" s="1"/>
  <c r="F56" i="31"/>
  <c r="F58" i="31" s="1"/>
  <c r="E56" i="31"/>
  <c r="E58" i="31" s="1"/>
  <c r="D56" i="31"/>
  <c r="D58" i="31" s="1"/>
  <c r="C58" i="31" s="1"/>
  <c r="B58" i="31" s="1"/>
  <c r="C56" i="31"/>
  <c r="B56" i="31"/>
  <c r="C30" i="36"/>
  <c r="G30" i="36"/>
  <c r="I30" i="36"/>
  <c r="O30" i="36"/>
  <c r="Y30" i="36"/>
  <c r="AA30" i="36"/>
  <c r="AC30" i="36"/>
  <c r="B30" i="36"/>
  <c r="D30" i="36"/>
  <c r="F30" i="36"/>
  <c r="H30" i="36"/>
  <c r="N30" i="36"/>
  <c r="Z30" i="36"/>
  <c r="C30" i="34"/>
  <c r="G30" i="34"/>
  <c r="I30" i="34"/>
  <c r="O30" i="34"/>
  <c r="Y30" i="34"/>
  <c r="AA30" i="34"/>
  <c r="AC30" i="34"/>
  <c r="B30" i="34"/>
  <c r="D30" i="34"/>
  <c r="F30" i="34"/>
  <c r="H30" i="34"/>
  <c r="N30" i="34"/>
  <c r="Z30" i="34"/>
  <c r="B30" i="32"/>
  <c r="N30" i="48"/>
  <c r="Z30" i="48"/>
  <c r="D10" i="18"/>
  <c r="E10" i="18" s="1"/>
  <c r="D9" i="18"/>
  <c r="E9" i="18" s="1"/>
  <c r="A10" i="18"/>
  <c r="A9" i="18"/>
  <c r="B90" i="52" a="1"/>
  <c r="B90" i="52" s="1"/>
  <c r="I87" i="52"/>
  <c r="H87" i="52"/>
  <c r="G87" i="52"/>
  <c r="C87" i="52"/>
  <c r="B87" i="52"/>
  <c r="J58" i="52"/>
  <c r="I58" i="52"/>
  <c r="F58" i="52"/>
  <c r="E58" i="52"/>
  <c r="N55" i="52"/>
  <c r="N57" i="52" s="1"/>
  <c r="M55" i="52"/>
  <c r="M57" i="52" s="1"/>
  <c r="L55" i="52"/>
  <c r="L57" i="52" s="1"/>
  <c r="K55" i="52"/>
  <c r="K57" i="52" s="1"/>
  <c r="J55" i="52"/>
  <c r="J57" i="52" s="1"/>
  <c r="I55" i="52"/>
  <c r="I57" i="52" s="1"/>
  <c r="H55" i="52"/>
  <c r="H57" i="52" s="1"/>
  <c r="G55" i="52"/>
  <c r="G57" i="52" s="1"/>
  <c r="F55" i="52"/>
  <c r="F57" i="52" s="1"/>
  <c r="E55" i="52"/>
  <c r="E57" i="52" s="1"/>
  <c r="D55" i="52"/>
  <c r="D57" i="52" s="1"/>
  <c r="C55" i="52"/>
  <c r="C57" i="52" s="1"/>
  <c r="B55" i="52"/>
  <c r="B57" i="52" s="1"/>
  <c r="N36" i="52"/>
  <c r="N34" i="52" s="1"/>
  <c r="N37" i="52" s="1"/>
  <c r="L36" i="52"/>
  <c r="L34" i="52" s="1"/>
  <c r="L37" i="52" s="1"/>
  <c r="J36" i="52"/>
  <c r="J34" i="52" s="1"/>
  <c r="J37" i="52" s="1"/>
  <c r="H36" i="52"/>
  <c r="H34" i="52" s="1"/>
  <c r="H37" i="52" s="1"/>
  <c r="F36" i="52"/>
  <c r="F34" i="52" s="1"/>
  <c r="F37" i="52" s="1"/>
  <c r="D36" i="52"/>
  <c r="D34" i="52" s="1"/>
  <c r="D37" i="52" s="1"/>
  <c r="B36" i="52"/>
  <c r="B34" i="52" s="1"/>
  <c r="B37" i="52" s="1"/>
  <c r="B10" i="52"/>
  <c r="G24" i="52" s="1"/>
  <c r="B9" i="52"/>
  <c r="L23" i="52" s="1"/>
  <c r="B7" i="52"/>
  <c r="B8" i="52" s="1"/>
  <c r="B3" i="52"/>
  <c r="B90" i="51" a="1"/>
  <c r="B90" i="51" s="1"/>
  <c r="L84" i="51" s="1"/>
  <c r="I87" i="51"/>
  <c r="H87" i="51"/>
  <c r="G87" i="51"/>
  <c r="C87" i="51"/>
  <c r="B87" i="51"/>
  <c r="M58" i="51"/>
  <c r="I58" i="51"/>
  <c r="E58" i="51"/>
  <c r="N55" i="51"/>
  <c r="N57" i="51" s="1"/>
  <c r="M55" i="51"/>
  <c r="M57" i="51" s="1"/>
  <c r="L55" i="51"/>
  <c r="L57" i="51" s="1"/>
  <c r="K55" i="51"/>
  <c r="K57" i="51" s="1"/>
  <c r="J55" i="51"/>
  <c r="J57" i="51" s="1"/>
  <c r="I55" i="51"/>
  <c r="I57" i="51" s="1"/>
  <c r="H55" i="51"/>
  <c r="H57" i="51"/>
  <c r="G55" i="51"/>
  <c r="G57" i="51" s="1"/>
  <c r="F55" i="51"/>
  <c r="F57" i="51" s="1"/>
  <c r="E55" i="51"/>
  <c r="E57" i="51" s="1"/>
  <c r="D55" i="51"/>
  <c r="D57" i="51" s="1"/>
  <c r="C55" i="51"/>
  <c r="C57" i="51" s="1"/>
  <c r="B55" i="51"/>
  <c r="B57" i="51" s="1"/>
  <c r="N36" i="51"/>
  <c r="N34" i="51" s="1"/>
  <c r="N37" i="51" s="1"/>
  <c r="L36" i="51"/>
  <c r="L34" i="51" s="1"/>
  <c r="L37" i="51" s="1"/>
  <c r="K35" i="51"/>
  <c r="J36" i="51"/>
  <c r="J34" i="51" s="1"/>
  <c r="J37" i="51" s="1"/>
  <c r="H36" i="51"/>
  <c r="H34" i="51" s="1"/>
  <c r="H37" i="51" s="1"/>
  <c r="F36" i="51"/>
  <c r="F34" i="51" s="1"/>
  <c r="F37" i="51" s="1"/>
  <c r="D36" i="51"/>
  <c r="D34" i="51" s="1"/>
  <c r="D37" i="51" s="1"/>
  <c r="B36" i="51"/>
  <c r="B34" i="51" s="1"/>
  <c r="B37" i="51" s="1"/>
  <c r="B10" i="51"/>
  <c r="I24" i="51" s="1"/>
  <c r="B9" i="51"/>
  <c r="F23" i="51" s="1"/>
  <c r="B7" i="51"/>
  <c r="B8" i="51" s="1"/>
  <c r="B3" i="51"/>
  <c r="K35" i="52"/>
  <c r="E35" i="51"/>
  <c r="M35" i="51"/>
  <c r="E35" i="52"/>
  <c r="M35" i="52"/>
  <c r="C58" i="51"/>
  <c r="B58" i="51" s="1"/>
  <c r="C35" i="52"/>
  <c r="G35" i="52"/>
  <c r="I35" i="52"/>
  <c r="D35" i="52"/>
  <c r="F35" i="52"/>
  <c r="J35" i="52"/>
  <c r="L35" i="52"/>
  <c r="N35" i="52"/>
  <c r="C36" i="52"/>
  <c r="C34" i="52" s="1"/>
  <c r="C37" i="52" s="1"/>
  <c r="E36" i="52"/>
  <c r="E34" i="52" s="1"/>
  <c r="E37" i="52" s="1"/>
  <c r="G36" i="52"/>
  <c r="G34" i="52" s="1"/>
  <c r="G37" i="52" s="1"/>
  <c r="I36" i="52"/>
  <c r="I34" i="52" s="1"/>
  <c r="I37" i="52" s="1"/>
  <c r="K36" i="52"/>
  <c r="K34" i="52" s="1"/>
  <c r="K37" i="52" s="1"/>
  <c r="M36" i="52"/>
  <c r="M34" i="52" s="1"/>
  <c r="M37" i="52" s="1"/>
  <c r="C35" i="51"/>
  <c r="G35" i="51"/>
  <c r="I35" i="51"/>
  <c r="D35" i="51"/>
  <c r="F35" i="51"/>
  <c r="J35" i="51"/>
  <c r="L35" i="51"/>
  <c r="N35" i="51"/>
  <c r="C36" i="51"/>
  <c r="C34" i="51" s="1"/>
  <c r="C37" i="51" s="1"/>
  <c r="E36" i="51"/>
  <c r="E34" i="51" s="1"/>
  <c r="E37" i="51" s="1"/>
  <c r="G36" i="51"/>
  <c r="G34" i="51" s="1"/>
  <c r="G37" i="51" s="1"/>
  <c r="I36" i="51"/>
  <c r="I34" i="51" s="1"/>
  <c r="I37" i="51" s="1"/>
  <c r="K36" i="51"/>
  <c r="K34" i="51" s="1"/>
  <c r="K37" i="51" s="1"/>
  <c r="M36" i="51"/>
  <c r="M34" i="51" s="1"/>
  <c r="M37" i="51" s="1"/>
  <c r="B35" i="52"/>
  <c r="H35" i="52"/>
  <c r="B35" i="51"/>
  <c r="H35" i="51"/>
  <c r="B90" i="37" a="1"/>
  <c r="B90" i="37" s="1"/>
  <c r="L84" i="37" s="1"/>
  <c r="B53" i="49"/>
  <c r="B53" i="47"/>
  <c r="D8" i="18"/>
  <c r="E8" i="18" s="1"/>
  <c r="D7" i="18"/>
  <c r="E7" i="18" s="1"/>
  <c r="D6" i="18"/>
  <c r="E6" i="18" s="1"/>
  <c r="D5" i="18"/>
  <c r="E5" i="18" s="1"/>
  <c r="D4" i="18"/>
  <c r="E4" i="18" s="1"/>
  <c r="D3" i="18"/>
  <c r="E3" i="18" s="1"/>
  <c r="D2" i="18"/>
  <c r="E2" i="18" s="1"/>
  <c r="A11" i="18"/>
  <c r="A8" i="18"/>
  <c r="A7" i="18"/>
  <c r="A6" i="18"/>
  <c r="A5" i="18"/>
  <c r="A4" i="18"/>
  <c r="A3" i="18"/>
  <c r="A2" i="18"/>
  <c r="X26" i="47"/>
  <c r="W26" i="47"/>
  <c r="V26" i="47"/>
  <c r="U26" i="47"/>
  <c r="T26" i="47"/>
  <c r="S26" i="47"/>
  <c r="R26" i="47"/>
  <c r="Q26" i="47"/>
  <c r="P26" i="47"/>
  <c r="M26" i="47"/>
  <c r="L26" i="47"/>
  <c r="K26" i="47"/>
  <c r="J26" i="47"/>
  <c r="E26" i="47"/>
  <c r="AB24" i="47"/>
  <c r="AA24" i="47"/>
  <c r="Z24" i="47"/>
  <c r="Y24" i="47"/>
  <c r="X24" i="47"/>
  <c r="Q24" i="47"/>
  <c r="O24" i="47"/>
  <c r="N24" i="47"/>
  <c r="K24" i="47"/>
  <c r="I24" i="47"/>
  <c r="H24" i="47"/>
  <c r="G24" i="47"/>
  <c r="F24" i="47"/>
  <c r="E24" i="47"/>
  <c r="D24" i="47"/>
  <c r="C24" i="47"/>
  <c r="B24" i="47"/>
  <c r="N55" i="37"/>
  <c r="N57" i="37" s="1"/>
  <c r="N36" i="37"/>
  <c r="N34" i="37" s="1"/>
  <c r="N37" i="37" s="1"/>
  <c r="AC58" i="36"/>
  <c r="AC55" i="36"/>
  <c r="AC57" i="36" s="1"/>
  <c r="AC55" i="49"/>
  <c r="AC57" i="49" s="1"/>
  <c r="AC36" i="49"/>
  <c r="AC34" i="49" s="1"/>
  <c r="AC37" i="49" s="1"/>
  <c r="AC55" i="34"/>
  <c r="AC57" i="34" s="1"/>
  <c r="AC36" i="34"/>
  <c r="AC34" i="34" s="1"/>
  <c r="AC37" i="34" s="1"/>
  <c r="AC58" i="32"/>
  <c r="AC55" i="32"/>
  <c r="AC57" i="32" s="1"/>
  <c r="AC58" i="48"/>
  <c r="AC55" i="48"/>
  <c r="AC57" i="48" s="1"/>
  <c r="AC55" i="47"/>
  <c r="AC57" i="47" s="1"/>
  <c r="AC36" i="47"/>
  <c r="AC34" i="47" s="1"/>
  <c r="AC37" i="47" s="1"/>
  <c r="AC26" i="47"/>
  <c r="AC24" i="47"/>
  <c r="AC55" i="31"/>
  <c r="AC57" i="31" s="1"/>
  <c r="C24" i="31"/>
  <c r="D24" i="31"/>
  <c r="E24" i="31"/>
  <c r="F24" i="31"/>
  <c r="G24" i="31"/>
  <c r="H24" i="31"/>
  <c r="I24" i="31"/>
  <c r="K24" i="31"/>
  <c r="N24" i="31"/>
  <c r="O24" i="31"/>
  <c r="Q24" i="31"/>
  <c r="X24" i="31"/>
  <c r="Y24" i="31"/>
  <c r="Z24" i="31"/>
  <c r="AA24" i="31"/>
  <c r="AB24" i="31"/>
  <c r="E26" i="31"/>
  <c r="J26" i="31"/>
  <c r="K26" i="31"/>
  <c r="L26" i="31"/>
  <c r="M26" i="31"/>
  <c r="P26" i="31"/>
  <c r="Q26" i="31"/>
  <c r="R26" i="31"/>
  <c r="S26" i="31"/>
  <c r="T26" i="31"/>
  <c r="U26" i="31"/>
  <c r="V26" i="31"/>
  <c r="W26" i="31"/>
  <c r="X26" i="31"/>
  <c r="B24" i="31"/>
  <c r="AC26" i="31"/>
  <c r="AC24" i="31"/>
  <c r="AC35" i="36"/>
  <c r="AC35" i="49"/>
  <c r="AC35" i="34"/>
  <c r="AC35" i="32"/>
  <c r="B90" i="49" a="1"/>
  <c r="B90" i="49" s="1"/>
  <c r="X88" i="49" s="1"/>
  <c r="AA58" i="49"/>
  <c r="Y58" i="49"/>
  <c r="W58" i="49"/>
  <c r="R58" i="49"/>
  <c r="Q58" i="49"/>
  <c r="AB55" i="49"/>
  <c r="AB57" i="49" s="1"/>
  <c r="AA55" i="49"/>
  <c r="AA57" i="49" s="1"/>
  <c r="Z55" i="49"/>
  <c r="Z57" i="49" s="1"/>
  <c r="Y55" i="49"/>
  <c r="Y57" i="49" s="1"/>
  <c r="X55" i="49"/>
  <c r="X57" i="49" s="1"/>
  <c r="W55" i="49"/>
  <c r="W57" i="49" s="1"/>
  <c r="V55" i="49"/>
  <c r="V57" i="49" s="1"/>
  <c r="U55" i="49"/>
  <c r="U57" i="49" s="1"/>
  <c r="T55" i="49"/>
  <c r="T57" i="49" s="1"/>
  <c r="S55" i="49"/>
  <c r="S57" i="49" s="1"/>
  <c r="R55" i="49"/>
  <c r="R57" i="49" s="1"/>
  <c r="Q55" i="49"/>
  <c r="Q57" i="49" s="1"/>
  <c r="P55" i="49"/>
  <c r="P57" i="49" s="1"/>
  <c r="O55" i="49"/>
  <c r="O57" i="49" s="1"/>
  <c r="N55" i="49"/>
  <c r="N57" i="49" s="1"/>
  <c r="M55" i="49"/>
  <c r="M57" i="49" s="1"/>
  <c r="L55" i="49"/>
  <c r="L57" i="49" s="1"/>
  <c r="K55" i="49"/>
  <c r="K57" i="49" s="1"/>
  <c r="J55" i="49"/>
  <c r="J57" i="49" s="1"/>
  <c r="I55" i="49"/>
  <c r="I57" i="49" s="1"/>
  <c r="H55" i="49"/>
  <c r="H57" i="49" s="1"/>
  <c r="G55" i="49"/>
  <c r="G57" i="49" s="1"/>
  <c r="F55" i="49"/>
  <c r="F57" i="49" s="1"/>
  <c r="E55" i="49"/>
  <c r="E57" i="49" s="1"/>
  <c r="D55" i="49"/>
  <c r="D57" i="49" s="1"/>
  <c r="C55" i="49"/>
  <c r="C57" i="49" s="1"/>
  <c r="B55" i="49"/>
  <c r="B57" i="49" s="1"/>
  <c r="AB36" i="49"/>
  <c r="AB34" i="49" s="1"/>
  <c r="AB37" i="49" s="1"/>
  <c r="Y35" i="49"/>
  <c r="U36" i="49"/>
  <c r="U34" i="49" s="1"/>
  <c r="U37" i="49" s="1"/>
  <c r="T36" i="49"/>
  <c r="T34" i="49" s="1"/>
  <c r="T37" i="49" s="1"/>
  <c r="S36" i="49"/>
  <c r="S34" i="49" s="1"/>
  <c r="S37" i="49" s="1"/>
  <c r="I35" i="49"/>
  <c r="C35" i="49"/>
  <c r="B10" i="49"/>
  <c r="J24" i="49" s="1"/>
  <c r="B9" i="49"/>
  <c r="W23" i="49" s="1"/>
  <c r="B7" i="49"/>
  <c r="B8" i="49" s="1"/>
  <c r="Y21" i="49" s="1"/>
  <c r="Y22" i="49" s="1"/>
  <c r="Y26" i="49" s="1"/>
  <c r="B3" i="49"/>
  <c r="AA35" i="49"/>
  <c r="G35" i="49"/>
  <c r="O35" i="49"/>
  <c r="D58" i="49"/>
  <c r="C58" i="49" s="1"/>
  <c r="B58" i="49" s="1"/>
  <c r="F58" i="49"/>
  <c r="G58" i="49"/>
  <c r="K35" i="49"/>
  <c r="E35" i="49"/>
  <c r="M35" i="49"/>
  <c r="E36" i="49"/>
  <c r="E34" i="49" s="1"/>
  <c r="E37" i="49" s="1"/>
  <c r="I36" i="49"/>
  <c r="I34" i="49" s="1"/>
  <c r="I37" i="49" s="1"/>
  <c r="C36" i="49"/>
  <c r="C34" i="49" s="1"/>
  <c r="C37" i="49" s="1"/>
  <c r="G36" i="49"/>
  <c r="G34" i="49" s="1"/>
  <c r="G37" i="49" s="1"/>
  <c r="AA36" i="49"/>
  <c r="AA34" i="49" s="1"/>
  <c r="AA37" i="49" s="1"/>
  <c r="B35" i="49"/>
  <c r="D36" i="49"/>
  <c r="D34" i="49" s="1"/>
  <c r="D37" i="49" s="1"/>
  <c r="D35" i="49"/>
  <c r="F35" i="49"/>
  <c r="H36" i="49"/>
  <c r="H34" i="49" s="1"/>
  <c r="H37" i="49" s="1"/>
  <c r="H35" i="49"/>
  <c r="J35" i="49"/>
  <c r="L35" i="49"/>
  <c r="N35" i="49"/>
  <c r="P35" i="49"/>
  <c r="Z35" i="49"/>
  <c r="AB35" i="49"/>
  <c r="B90" i="48" a="1"/>
  <c r="B90" i="48" s="1"/>
  <c r="M88" i="48" s="1"/>
  <c r="P58" i="48"/>
  <c r="AB55" i="48"/>
  <c r="AB57" i="48" s="1"/>
  <c r="AA55" i="48"/>
  <c r="AA57" i="48" s="1"/>
  <c r="Z55" i="48"/>
  <c r="Z57" i="48" s="1"/>
  <c r="Y55" i="48"/>
  <c r="Y57" i="48" s="1"/>
  <c r="X55" i="48"/>
  <c r="X57" i="48" s="1"/>
  <c r="W55" i="48"/>
  <c r="W57" i="48" s="1"/>
  <c r="V55" i="48"/>
  <c r="V57" i="48" s="1"/>
  <c r="U55" i="48"/>
  <c r="U57" i="48" s="1"/>
  <c r="T55" i="48"/>
  <c r="T57" i="48" s="1"/>
  <c r="S55" i="48"/>
  <c r="S57" i="48" s="1"/>
  <c r="R55" i="48"/>
  <c r="R57" i="48" s="1"/>
  <c r="Q55" i="48"/>
  <c r="Q57" i="48" s="1"/>
  <c r="P55" i="48"/>
  <c r="P57" i="48" s="1"/>
  <c r="O55" i="48"/>
  <c r="O57" i="48" s="1"/>
  <c r="N55" i="48"/>
  <c r="N57" i="48" s="1"/>
  <c r="M55" i="48"/>
  <c r="M57" i="48" s="1"/>
  <c r="L55" i="48"/>
  <c r="L57" i="48" s="1"/>
  <c r="K55" i="48"/>
  <c r="K57" i="48" s="1"/>
  <c r="J55" i="48"/>
  <c r="J57" i="48" s="1"/>
  <c r="I55" i="48"/>
  <c r="I57" i="48" s="1"/>
  <c r="H55" i="48"/>
  <c r="H57" i="48" s="1"/>
  <c r="G55" i="48"/>
  <c r="G57" i="48" s="1"/>
  <c r="F55" i="48"/>
  <c r="F57" i="48" s="1"/>
  <c r="E55" i="48"/>
  <c r="E57" i="48" s="1"/>
  <c r="D55" i="48"/>
  <c r="D57" i="48" s="1"/>
  <c r="C55" i="48"/>
  <c r="C57" i="48" s="1"/>
  <c r="B55" i="48"/>
  <c r="B57" i="48" s="1"/>
  <c r="W36" i="48"/>
  <c r="W34" i="48" s="1"/>
  <c r="W37" i="48" s="1"/>
  <c r="V36" i="48"/>
  <c r="V34" i="48" s="1"/>
  <c r="V37" i="48" s="1"/>
  <c r="U36" i="48"/>
  <c r="U34" i="48" s="1"/>
  <c r="U37" i="48" s="1"/>
  <c r="T36" i="48"/>
  <c r="T34" i="48" s="1"/>
  <c r="T37" i="48" s="1"/>
  <c r="S36" i="48"/>
  <c r="S34" i="48" s="1"/>
  <c r="S37" i="48" s="1"/>
  <c r="R36" i="48"/>
  <c r="R34" i="48" s="1"/>
  <c r="R37" i="48" s="1"/>
  <c r="Q36" i="48"/>
  <c r="Q34" i="48" s="1"/>
  <c r="Q37" i="48" s="1"/>
  <c r="O36" i="48"/>
  <c r="O34" i="48" s="1"/>
  <c r="O37" i="48" s="1"/>
  <c r="I36" i="48"/>
  <c r="I34" i="48" s="1"/>
  <c r="I37" i="48" s="1"/>
  <c r="G36" i="48"/>
  <c r="G34" i="48" s="1"/>
  <c r="G37" i="48" s="1"/>
  <c r="E36" i="48"/>
  <c r="E34" i="48" s="1"/>
  <c r="E37" i="48" s="1"/>
  <c r="C36" i="48"/>
  <c r="C34" i="48" s="1"/>
  <c r="C37" i="48" s="1"/>
  <c r="B35" i="48"/>
  <c r="B10" i="48"/>
  <c r="W24" i="48" s="1"/>
  <c r="B9" i="48"/>
  <c r="Q23" i="48" s="1"/>
  <c r="B7" i="48"/>
  <c r="B8" i="48" s="1"/>
  <c r="J21" i="48" s="1"/>
  <c r="B3" i="48"/>
  <c r="B90" i="47" a="1"/>
  <c r="B90" i="47" s="1"/>
  <c r="X58" i="47"/>
  <c r="AB55" i="47"/>
  <c r="AB57" i="47" s="1"/>
  <c r="AA55" i="47"/>
  <c r="AA57" i="47" s="1"/>
  <c r="Z55" i="47"/>
  <c r="Z57" i="47" s="1"/>
  <c r="Y55" i="47"/>
  <c r="Y57" i="47" s="1"/>
  <c r="X55" i="47"/>
  <c r="X57" i="47" s="1"/>
  <c r="W55" i="47"/>
  <c r="W57" i="47" s="1"/>
  <c r="V55" i="47"/>
  <c r="V57" i="47" s="1"/>
  <c r="U55" i="47"/>
  <c r="U57" i="47" s="1"/>
  <c r="T55" i="47"/>
  <c r="T57" i="47" s="1"/>
  <c r="S55" i="47"/>
  <c r="S57" i="47" s="1"/>
  <c r="R55" i="47"/>
  <c r="R57" i="47" s="1"/>
  <c r="Q55" i="47"/>
  <c r="Q57" i="47" s="1"/>
  <c r="P55" i="47"/>
  <c r="P57" i="47" s="1"/>
  <c r="O55" i="47"/>
  <c r="O57" i="47" s="1"/>
  <c r="N55" i="47"/>
  <c r="N57" i="47" s="1"/>
  <c r="M55" i="47"/>
  <c r="M57" i="47" s="1"/>
  <c r="L55" i="47"/>
  <c r="L57" i="47" s="1"/>
  <c r="K55" i="47"/>
  <c r="K57" i="47" s="1"/>
  <c r="J55" i="47"/>
  <c r="J57" i="47" s="1"/>
  <c r="I55" i="47"/>
  <c r="I57" i="47" s="1"/>
  <c r="H55" i="47"/>
  <c r="H57" i="47" s="1"/>
  <c r="G55" i="47"/>
  <c r="G57" i="47" s="1"/>
  <c r="F55" i="47"/>
  <c r="F57" i="47" s="1"/>
  <c r="E55" i="47"/>
  <c r="E57" i="47" s="1"/>
  <c r="D55" i="47"/>
  <c r="D57" i="47" s="1"/>
  <c r="C55" i="47"/>
  <c r="C57" i="47" s="1"/>
  <c r="B55" i="47"/>
  <c r="B57" i="47" s="1"/>
  <c r="AB36" i="47"/>
  <c r="AB34" i="47" s="1"/>
  <c r="AB37" i="47" s="1"/>
  <c r="Y35" i="47"/>
  <c r="X36" i="47"/>
  <c r="X34" i="47" s="1"/>
  <c r="X37" i="47" s="1"/>
  <c r="L36" i="47"/>
  <c r="L34" i="47" s="1"/>
  <c r="L37" i="47" s="1"/>
  <c r="K35" i="47"/>
  <c r="J36" i="47"/>
  <c r="J34" i="47" s="1"/>
  <c r="J37" i="47" s="1"/>
  <c r="I35" i="47"/>
  <c r="H36" i="47"/>
  <c r="H34" i="47" s="1"/>
  <c r="H37" i="47" s="1"/>
  <c r="C35" i="47"/>
  <c r="B10" i="47"/>
  <c r="W24" i="47" s="1"/>
  <c r="B9" i="47"/>
  <c r="E23" i="47" s="1"/>
  <c r="B7" i="47"/>
  <c r="B8" i="47" s="1"/>
  <c r="B3" i="47"/>
  <c r="Z35" i="48"/>
  <c r="AA23" i="48"/>
  <c r="M58" i="48"/>
  <c r="J35" i="48"/>
  <c r="M58" i="47"/>
  <c r="E58" i="47"/>
  <c r="H58" i="47"/>
  <c r="L58" i="47"/>
  <c r="D35" i="48"/>
  <c r="L35" i="48"/>
  <c r="AB35" i="48"/>
  <c r="E35" i="47"/>
  <c r="M35" i="47"/>
  <c r="F35" i="48"/>
  <c r="N35" i="48"/>
  <c r="G35" i="47"/>
  <c r="O35" i="47"/>
  <c r="H35" i="48"/>
  <c r="P35" i="48"/>
  <c r="AA35" i="47"/>
  <c r="AC35" i="48"/>
  <c r="AC35" i="47"/>
  <c r="U88" i="48"/>
  <c r="C35" i="48"/>
  <c r="E35" i="48"/>
  <c r="G35" i="48"/>
  <c r="I35" i="48"/>
  <c r="K35" i="48"/>
  <c r="M35" i="48"/>
  <c r="O35" i="48"/>
  <c r="Y35" i="48"/>
  <c r="AA35" i="48"/>
  <c r="D36" i="48"/>
  <c r="D34" i="48" s="1"/>
  <c r="D37" i="48" s="1"/>
  <c r="H36" i="48"/>
  <c r="H34" i="48" s="1"/>
  <c r="H37" i="48" s="1"/>
  <c r="P36" i="48"/>
  <c r="P34" i="48" s="1"/>
  <c r="P37" i="48" s="1"/>
  <c r="X36" i="48"/>
  <c r="X34" i="48" s="1"/>
  <c r="X37" i="48" s="1"/>
  <c r="B35" i="47"/>
  <c r="D35" i="47"/>
  <c r="F35" i="47"/>
  <c r="H35" i="47"/>
  <c r="J35" i="47"/>
  <c r="L35" i="47"/>
  <c r="N35" i="47"/>
  <c r="P35" i="47"/>
  <c r="Z35" i="47"/>
  <c r="AB35" i="47"/>
  <c r="E36" i="47"/>
  <c r="E34" i="47" s="1"/>
  <c r="E37" i="47" s="1"/>
  <c r="K36" i="47"/>
  <c r="K34" i="47" s="1"/>
  <c r="K37" i="47" s="1"/>
  <c r="M36" i="47"/>
  <c r="M34" i="47" s="1"/>
  <c r="M37" i="47" s="1"/>
  <c r="Y36" i="47"/>
  <c r="Y34" i="47" s="1"/>
  <c r="Y37" i="47" s="1"/>
  <c r="AA36" i="47"/>
  <c r="AA34" i="47" s="1"/>
  <c r="AA37" i="47" s="1"/>
  <c r="C72" i="32"/>
  <c r="D72" i="32"/>
  <c r="E72" i="32"/>
  <c r="F72" i="32"/>
  <c r="G72" i="32"/>
  <c r="H72" i="32"/>
  <c r="I72" i="32"/>
  <c r="J72" i="32"/>
  <c r="K72" i="32"/>
  <c r="L72" i="32"/>
  <c r="M72" i="32"/>
  <c r="N72" i="32"/>
  <c r="O72" i="32"/>
  <c r="P72" i="32"/>
  <c r="Q72" i="32"/>
  <c r="R72" i="32"/>
  <c r="S72" i="32"/>
  <c r="T72" i="32"/>
  <c r="U72" i="32"/>
  <c r="V72" i="32"/>
  <c r="W72" i="32"/>
  <c r="X72" i="32"/>
  <c r="Y72" i="32"/>
  <c r="Z72" i="32"/>
  <c r="AA72" i="32"/>
  <c r="AB72" i="32"/>
  <c r="B72" i="32"/>
  <c r="G58" i="37"/>
  <c r="M55" i="37"/>
  <c r="M57" i="37" s="1"/>
  <c r="L55" i="37"/>
  <c r="L57" i="37" s="1"/>
  <c r="K55" i="37"/>
  <c r="K57" i="37" s="1"/>
  <c r="J55" i="37"/>
  <c r="J57" i="37" s="1"/>
  <c r="I55" i="37"/>
  <c r="I57" i="37" s="1"/>
  <c r="H55" i="37"/>
  <c r="H57" i="37" s="1"/>
  <c r="G55" i="37"/>
  <c r="G57" i="37" s="1"/>
  <c r="F55" i="37"/>
  <c r="F57" i="37" s="1"/>
  <c r="E55" i="37"/>
  <c r="E57" i="37" s="1"/>
  <c r="D55" i="37"/>
  <c r="D57" i="37" s="1"/>
  <c r="C55" i="37"/>
  <c r="C57" i="37" s="1"/>
  <c r="B55" i="37"/>
  <c r="B57" i="37" s="1"/>
  <c r="B10" i="37"/>
  <c r="H24" i="37" s="1"/>
  <c r="B9" i="37"/>
  <c r="I23" i="37" s="1"/>
  <c r="B7" i="37"/>
  <c r="B8" i="37" s="1"/>
  <c r="E21" i="37" s="1"/>
  <c r="B3" i="37"/>
  <c r="I87" i="37"/>
  <c r="H87" i="37"/>
  <c r="G87" i="37"/>
  <c r="C87" i="37"/>
  <c r="B87" i="37"/>
  <c r="M36" i="37"/>
  <c r="M34" i="37" s="1"/>
  <c r="M37" i="37" s="1"/>
  <c r="L36" i="37"/>
  <c r="L34" i="37" s="1"/>
  <c r="L37" i="37" s="1"/>
  <c r="K36" i="37"/>
  <c r="K34" i="37" s="1"/>
  <c r="K37" i="37" s="1"/>
  <c r="J36" i="37"/>
  <c r="J34" i="37" s="1"/>
  <c r="J37" i="37" s="1"/>
  <c r="I36" i="37"/>
  <c r="I34" i="37" s="1"/>
  <c r="I37" i="37" s="1"/>
  <c r="H36" i="37"/>
  <c r="H34" i="37" s="1"/>
  <c r="H37" i="37" s="1"/>
  <c r="G36" i="37"/>
  <c r="G34" i="37" s="1"/>
  <c r="G37" i="37" s="1"/>
  <c r="F36" i="37"/>
  <c r="F34" i="37" s="1"/>
  <c r="F37" i="37" s="1"/>
  <c r="E36" i="37"/>
  <c r="E34" i="37" s="1"/>
  <c r="E37" i="37" s="1"/>
  <c r="D36" i="37"/>
  <c r="D34" i="37" s="1"/>
  <c r="D37" i="37" s="1"/>
  <c r="C36" i="37"/>
  <c r="C34" i="37" s="1"/>
  <c r="C37" i="37" s="1"/>
  <c r="B36" i="37"/>
  <c r="B34" i="37" s="1"/>
  <c r="B37" i="37" s="1"/>
  <c r="Z58" i="36"/>
  <c r="Y58" i="36"/>
  <c r="R58" i="36"/>
  <c r="Q58" i="36"/>
  <c r="P58" i="36"/>
  <c r="AB55" i="36"/>
  <c r="AB57" i="36" s="1"/>
  <c r="AA55" i="36"/>
  <c r="AA57" i="36" s="1"/>
  <c r="Z55" i="36"/>
  <c r="Z57" i="36" s="1"/>
  <c r="Y55" i="36"/>
  <c r="Y57" i="36" s="1"/>
  <c r="X55" i="36"/>
  <c r="X57" i="36" s="1"/>
  <c r="W55" i="36"/>
  <c r="W57" i="36" s="1"/>
  <c r="V55" i="36"/>
  <c r="V57" i="36" s="1"/>
  <c r="U55" i="36"/>
  <c r="U57" i="36" s="1"/>
  <c r="T55" i="36"/>
  <c r="T57" i="36" s="1"/>
  <c r="S55" i="36"/>
  <c r="S57" i="36" s="1"/>
  <c r="R55" i="36"/>
  <c r="R57" i="36" s="1"/>
  <c r="Q55" i="36"/>
  <c r="Q57" i="36" s="1"/>
  <c r="P55" i="36"/>
  <c r="P57" i="36" s="1"/>
  <c r="O55" i="36"/>
  <c r="O57" i="36" s="1"/>
  <c r="N55" i="36"/>
  <c r="N57" i="36" s="1"/>
  <c r="M55" i="36"/>
  <c r="M57" i="36" s="1"/>
  <c r="L55" i="36"/>
  <c r="L57" i="36" s="1"/>
  <c r="K55" i="36"/>
  <c r="K57" i="36" s="1"/>
  <c r="J55" i="36"/>
  <c r="J57" i="36" s="1"/>
  <c r="I55" i="36"/>
  <c r="I57" i="36" s="1"/>
  <c r="H55" i="36"/>
  <c r="H57" i="36" s="1"/>
  <c r="G55" i="36"/>
  <c r="G57" i="36" s="1"/>
  <c r="F55" i="36"/>
  <c r="F57" i="36" s="1"/>
  <c r="E55" i="36"/>
  <c r="E57" i="36" s="1"/>
  <c r="D55" i="36"/>
  <c r="D57" i="36" s="1"/>
  <c r="C55" i="36"/>
  <c r="C57" i="36" s="1"/>
  <c r="B55" i="36"/>
  <c r="B57" i="36" s="1"/>
  <c r="AB58" i="34"/>
  <c r="Q58" i="34"/>
  <c r="P58" i="34"/>
  <c r="AB55" i="34"/>
  <c r="AB57" i="34" s="1"/>
  <c r="AA55" i="34"/>
  <c r="AA57" i="34" s="1"/>
  <c r="Z55" i="34"/>
  <c r="Z57" i="34" s="1"/>
  <c r="Y55" i="34"/>
  <c r="Y57" i="34" s="1"/>
  <c r="X55" i="34"/>
  <c r="X57" i="34" s="1"/>
  <c r="W55" i="34"/>
  <c r="W57" i="34" s="1"/>
  <c r="V55" i="34"/>
  <c r="V57" i="34" s="1"/>
  <c r="U55" i="34"/>
  <c r="U57" i="34" s="1"/>
  <c r="T55" i="34"/>
  <c r="T57" i="34" s="1"/>
  <c r="S55" i="34"/>
  <c r="S57" i="34" s="1"/>
  <c r="R55" i="34"/>
  <c r="R57" i="34" s="1"/>
  <c r="Q55" i="34"/>
  <c r="Q57" i="34" s="1"/>
  <c r="P55" i="34"/>
  <c r="P57" i="34" s="1"/>
  <c r="O55" i="34"/>
  <c r="O57" i="34" s="1"/>
  <c r="N55" i="34"/>
  <c r="N57" i="34" s="1"/>
  <c r="M55" i="34"/>
  <c r="M57" i="34" s="1"/>
  <c r="L55" i="34"/>
  <c r="K55" i="34"/>
  <c r="K57" i="34" s="1"/>
  <c r="J55" i="34"/>
  <c r="J57" i="34" s="1"/>
  <c r="I55" i="34"/>
  <c r="I57" i="34" s="1"/>
  <c r="H55" i="34"/>
  <c r="H57" i="34" s="1"/>
  <c r="G55" i="34"/>
  <c r="G57" i="34" s="1"/>
  <c r="F55" i="34"/>
  <c r="F57" i="34" s="1"/>
  <c r="E55" i="34"/>
  <c r="E57" i="34" s="1"/>
  <c r="D55" i="34"/>
  <c r="D57" i="34" s="1"/>
  <c r="C55" i="34"/>
  <c r="C57" i="34" s="1"/>
  <c r="B55" i="34"/>
  <c r="B57" i="34" s="1"/>
  <c r="AB58" i="32"/>
  <c r="Z58" i="32"/>
  <c r="Y58" i="32"/>
  <c r="X58" i="32"/>
  <c r="V58" i="32"/>
  <c r="AB55" i="32"/>
  <c r="AB57" i="32" s="1"/>
  <c r="AA55" i="32"/>
  <c r="AA57" i="32" s="1"/>
  <c r="Z55" i="32"/>
  <c r="Z57" i="32" s="1"/>
  <c r="Y55" i="32"/>
  <c r="Y57" i="32" s="1"/>
  <c r="X55" i="32"/>
  <c r="X57" i="32" s="1"/>
  <c r="W55" i="32"/>
  <c r="W57" i="32" s="1"/>
  <c r="V55" i="32"/>
  <c r="V57" i="32" s="1"/>
  <c r="U55" i="32"/>
  <c r="U57" i="32" s="1"/>
  <c r="T55" i="32"/>
  <c r="T57" i="32" s="1"/>
  <c r="S55" i="32"/>
  <c r="S57" i="32" s="1"/>
  <c r="R55" i="32"/>
  <c r="R57" i="32" s="1"/>
  <c r="Q55" i="32"/>
  <c r="Q57" i="32" s="1"/>
  <c r="P55" i="32"/>
  <c r="P57" i="32" s="1"/>
  <c r="O55" i="32"/>
  <c r="O57" i="32" s="1"/>
  <c r="N55" i="32"/>
  <c r="N57" i="32" s="1"/>
  <c r="M55" i="32"/>
  <c r="M57" i="32" s="1"/>
  <c r="L55" i="32"/>
  <c r="L57" i="32" s="1"/>
  <c r="K55" i="32"/>
  <c r="K57" i="32" s="1"/>
  <c r="J55" i="32"/>
  <c r="J57" i="32" s="1"/>
  <c r="I55" i="32"/>
  <c r="I57" i="32" s="1"/>
  <c r="H55" i="32"/>
  <c r="H57" i="32" s="1"/>
  <c r="G55" i="32"/>
  <c r="G57" i="32" s="1"/>
  <c r="F55" i="32"/>
  <c r="F57" i="32" s="1"/>
  <c r="E55" i="32"/>
  <c r="E57" i="32" s="1"/>
  <c r="D55" i="32"/>
  <c r="D57" i="32" s="1"/>
  <c r="C55" i="32"/>
  <c r="C57" i="32" s="1"/>
  <c r="B55" i="32"/>
  <c r="B57" i="32" s="1"/>
  <c r="B10" i="36"/>
  <c r="P24" i="36" s="1"/>
  <c r="B9" i="36"/>
  <c r="C23" i="36" s="1"/>
  <c r="B7" i="36"/>
  <c r="B8" i="36" s="1"/>
  <c r="O21" i="36" s="1"/>
  <c r="B3" i="36"/>
  <c r="B90" i="36" a="1"/>
  <c r="B90" i="36" s="1"/>
  <c r="D88" i="36" s="1"/>
  <c r="Y35" i="36"/>
  <c r="X36" i="36"/>
  <c r="X34" i="36" s="1"/>
  <c r="X37" i="36" s="1"/>
  <c r="W36" i="36"/>
  <c r="W34" i="36" s="1"/>
  <c r="W37" i="36" s="1"/>
  <c r="U36" i="36"/>
  <c r="U34" i="36" s="1"/>
  <c r="U37" i="36" s="1"/>
  <c r="T36" i="36"/>
  <c r="T34" i="36" s="1"/>
  <c r="T37" i="36" s="1"/>
  <c r="S36" i="36"/>
  <c r="S34" i="36" s="1"/>
  <c r="S37" i="36" s="1"/>
  <c r="H36" i="36"/>
  <c r="H34" i="36" s="1"/>
  <c r="H37" i="36" s="1"/>
  <c r="D36" i="36"/>
  <c r="D34" i="36" s="1"/>
  <c r="D37" i="36" s="1"/>
  <c r="C35" i="36"/>
  <c r="B90" i="34" a="1"/>
  <c r="B90" i="34" s="1"/>
  <c r="AB36" i="34"/>
  <c r="AB34" i="34" s="1"/>
  <c r="AB37" i="34" s="1"/>
  <c r="Y35" i="34"/>
  <c r="X36" i="34"/>
  <c r="X34" i="34" s="1"/>
  <c r="X37" i="34" s="1"/>
  <c r="W36" i="34"/>
  <c r="W34" i="34" s="1"/>
  <c r="W37" i="34" s="1"/>
  <c r="Q36" i="34"/>
  <c r="Q34" i="34" s="1"/>
  <c r="Q37" i="34" s="1"/>
  <c r="P36" i="34"/>
  <c r="P34" i="34" s="1"/>
  <c r="P37" i="34" s="1"/>
  <c r="L36" i="34"/>
  <c r="L34" i="34" s="1"/>
  <c r="L37" i="34" s="1"/>
  <c r="H36" i="34"/>
  <c r="H34" i="34" s="1"/>
  <c r="H37" i="34" s="1"/>
  <c r="C35" i="34"/>
  <c r="B10" i="34"/>
  <c r="T24" i="34" s="1"/>
  <c r="B9" i="34"/>
  <c r="Y23" i="34" s="1"/>
  <c r="B7" i="34"/>
  <c r="B8" i="34" s="1"/>
  <c r="AC21" i="34" s="1"/>
  <c r="B3" i="34"/>
  <c r="B10" i="32"/>
  <c r="V24" i="32" s="1"/>
  <c r="B9" i="32"/>
  <c r="S23" i="32" s="1"/>
  <c r="B7" i="32"/>
  <c r="B8" i="32" s="1"/>
  <c r="Y21" i="32" s="1"/>
  <c r="B3" i="32"/>
  <c r="B90" i="32" a="1"/>
  <c r="B90" i="32" s="1"/>
  <c r="AA36" i="32"/>
  <c r="AA34" i="32" s="1"/>
  <c r="AA37" i="32" s="1"/>
  <c r="U36" i="32"/>
  <c r="U34" i="32" s="1"/>
  <c r="U37" i="32" s="1"/>
  <c r="T36" i="32"/>
  <c r="T34" i="32" s="1"/>
  <c r="T37" i="32" s="1"/>
  <c r="S36" i="32"/>
  <c r="S34" i="32" s="1"/>
  <c r="S37" i="32" s="1"/>
  <c r="R36" i="32"/>
  <c r="R34" i="32" s="1"/>
  <c r="R37" i="32" s="1"/>
  <c r="O36" i="32"/>
  <c r="O34" i="32" s="1"/>
  <c r="O37" i="32" s="1"/>
  <c r="M36" i="32"/>
  <c r="M34" i="32" s="1"/>
  <c r="M37" i="32" s="1"/>
  <c r="K36" i="32"/>
  <c r="K34" i="32" s="1"/>
  <c r="K37" i="32" s="1"/>
  <c r="C36" i="32"/>
  <c r="C34" i="32" s="1"/>
  <c r="C37" i="32" s="1"/>
  <c r="B35" i="32"/>
  <c r="C55" i="31"/>
  <c r="D55" i="31"/>
  <c r="D57" i="31" s="1"/>
  <c r="E55" i="31"/>
  <c r="E57" i="31" s="1"/>
  <c r="F55" i="31"/>
  <c r="F57" i="31" s="1"/>
  <c r="G55" i="31"/>
  <c r="G57" i="31" s="1"/>
  <c r="H55" i="31"/>
  <c r="H57" i="31" s="1"/>
  <c r="I55" i="31"/>
  <c r="I57" i="31" s="1"/>
  <c r="J55" i="31"/>
  <c r="J57" i="31" s="1"/>
  <c r="K55" i="31"/>
  <c r="K57" i="31" s="1"/>
  <c r="L55" i="31"/>
  <c r="L57" i="31" s="1"/>
  <c r="M55" i="31"/>
  <c r="M57" i="31" s="1"/>
  <c r="N55" i="31"/>
  <c r="N57" i="31" s="1"/>
  <c r="O55" i="31"/>
  <c r="O57" i="31" s="1"/>
  <c r="P55" i="31"/>
  <c r="P57" i="31" s="1"/>
  <c r="Q55" i="31"/>
  <c r="Q57" i="31" s="1"/>
  <c r="R55" i="31"/>
  <c r="R57" i="31" s="1"/>
  <c r="S55" i="31"/>
  <c r="S57" i="31" s="1"/>
  <c r="T55" i="31"/>
  <c r="T57" i="31" s="1"/>
  <c r="U55" i="31"/>
  <c r="U57" i="31" s="1"/>
  <c r="V55" i="31"/>
  <c r="V57" i="31" s="1"/>
  <c r="W55" i="31"/>
  <c r="W57" i="31" s="1"/>
  <c r="X55" i="31"/>
  <c r="X57" i="31" s="1"/>
  <c r="Y55" i="31"/>
  <c r="Y57" i="31" s="1"/>
  <c r="Z55" i="31"/>
  <c r="Z57" i="31" s="1"/>
  <c r="AA55" i="31"/>
  <c r="AA57" i="31" s="1"/>
  <c r="AB55" i="31"/>
  <c r="AB57" i="31" s="1"/>
  <c r="B55" i="31"/>
  <c r="B57" i="31" s="1"/>
  <c r="G35" i="34"/>
  <c r="E35" i="36"/>
  <c r="I35" i="36"/>
  <c r="I35" i="34"/>
  <c r="E35" i="34"/>
  <c r="M35" i="34"/>
  <c r="C24" i="37"/>
  <c r="L57" i="34"/>
  <c r="J58" i="36"/>
  <c r="M58" i="36"/>
  <c r="M58" i="34"/>
  <c r="O58" i="34"/>
  <c r="F58" i="32"/>
  <c r="J58" i="32"/>
  <c r="N58" i="32"/>
  <c r="E58" i="32"/>
  <c r="M58" i="32"/>
  <c r="D35" i="32"/>
  <c r="J35" i="32"/>
  <c r="L35" i="32"/>
  <c r="K35" i="34"/>
  <c r="G35" i="36"/>
  <c r="F35" i="32"/>
  <c r="N35" i="32"/>
  <c r="H35" i="32"/>
  <c r="K35" i="36"/>
  <c r="M35" i="36"/>
  <c r="O35" i="34"/>
  <c r="P35" i="32"/>
  <c r="N35" i="37"/>
  <c r="O35" i="36"/>
  <c r="AA35" i="36"/>
  <c r="AA35" i="34"/>
  <c r="Z35" i="32"/>
  <c r="AB35" i="32"/>
  <c r="E35" i="37"/>
  <c r="K35" i="37"/>
  <c r="M35" i="37"/>
  <c r="D35" i="37"/>
  <c r="F35" i="37"/>
  <c r="J35" i="37"/>
  <c r="L35" i="37"/>
  <c r="B35" i="36"/>
  <c r="D35" i="36"/>
  <c r="F35" i="36"/>
  <c r="H35" i="36"/>
  <c r="J35" i="36"/>
  <c r="L35" i="36"/>
  <c r="N35" i="36"/>
  <c r="P35" i="36"/>
  <c r="Z35" i="36"/>
  <c r="AB35" i="36"/>
  <c r="G36" i="36"/>
  <c r="G34" i="36" s="1"/>
  <c r="G37" i="36" s="1"/>
  <c r="I36" i="36"/>
  <c r="I34" i="36" s="1"/>
  <c r="I37" i="36" s="1"/>
  <c r="Y36" i="36"/>
  <c r="Y34" i="36" s="1"/>
  <c r="Y37" i="36" s="1"/>
  <c r="B35" i="34"/>
  <c r="D35" i="34"/>
  <c r="F35" i="34"/>
  <c r="H35" i="34"/>
  <c r="J35" i="34"/>
  <c r="L35" i="34"/>
  <c r="N35" i="34"/>
  <c r="P35" i="34"/>
  <c r="Z35" i="34"/>
  <c r="AB35" i="34"/>
  <c r="K36" i="34"/>
  <c r="K34" i="34" s="1"/>
  <c r="K37" i="34" s="1"/>
  <c r="M36" i="34"/>
  <c r="M34" i="34" s="1"/>
  <c r="M37" i="34" s="1"/>
  <c r="O36" i="34"/>
  <c r="O34" i="34" s="1"/>
  <c r="O37" i="34" s="1"/>
  <c r="Y36" i="34"/>
  <c r="Y34" i="34" s="1"/>
  <c r="Y37" i="34" s="1"/>
  <c r="AA36" i="34"/>
  <c r="AA34" i="34" s="1"/>
  <c r="AA37" i="34" s="1"/>
  <c r="C35" i="32"/>
  <c r="E35" i="32"/>
  <c r="G35" i="32"/>
  <c r="I35" i="32"/>
  <c r="K35" i="32"/>
  <c r="M35" i="32"/>
  <c r="O35" i="32"/>
  <c r="Y35" i="32"/>
  <c r="AA35" i="32"/>
  <c r="B36" i="32"/>
  <c r="B34" i="32" s="1"/>
  <c r="B37" i="32" s="1"/>
  <c r="D36" i="32"/>
  <c r="D34" i="32" s="1"/>
  <c r="D37" i="32" s="1"/>
  <c r="J36" i="32"/>
  <c r="J34" i="32" s="1"/>
  <c r="J37" i="32" s="1"/>
  <c r="L36" i="32"/>
  <c r="L34" i="32" s="1"/>
  <c r="L37" i="32" s="1"/>
  <c r="P36" i="32"/>
  <c r="P34" i="32" s="1"/>
  <c r="P37" i="32" s="1"/>
  <c r="AB36" i="32"/>
  <c r="AB34" i="32" s="1"/>
  <c r="AB37" i="32" s="1"/>
  <c r="B10" i="31"/>
  <c r="L24" i="31" s="1"/>
  <c r="B9" i="31"/>
  <c r="AB23" i="31" s="1"/>
  <c r="B7" i="31"/>
  <c r="B8" i="31" s="1"/>
  <c r="B3" i="31"/>
  <c r="B90" i="31" a="1"/>
  <c r="B90" i="31" s="1"/>
  <c r="Z58" i="31"/>
  <c r="Y58" i="31"/>
  <c r="W58" i="31"/>
  <c r="V58" i="31"/>
  <c r="B35" i="37"/>
  <c r="C35" i="37"/>
  <c r="G35" i="37"/>
  <c r="H35" i="37"/>
  <c r="I35" i="37"/>
  <c r="C57" i="31"/>
  <c r="AA23" i="31" l="1"/>
  <c r="D23" i="31"/>
  <c r="M23" i="48"/>
  <c r="V24" i="36"/>
  <c r="P42" i="49"/>
  <c r="P43" i="49"/>
  <c r="P41" i="49"/>
  <c r="P45" i="49"/>
  <c r="P48" i="49"/>
  <c r="P44" i="49"/>
  <c r="P39" i="49"/>
  <c r="P46" i="49"/>
  <c r="P47" i="49"/>
  <c r="P40" i="49"/>
  <c r="Y45" i="31"/>
  <c r="Y44" i="31"/>
  <c r="Y42" i="31"/>
  <c r="Y48" i="31"/>
  <c r="Y40" i="31"/>
  <c r="Y46" i="31"/>
  <c r="Y47" i="31"/>
  <c r="Y43" i="31"/>
  <c r="Y39" i="31"/>
  <c r="Y41" i="31"/>
  <c r="D48" i="34"/>
  <c r="D39" i="34"/>
  <c r="D43" i="34"/>
  <c r="D44" i="34"/>
  <c r="D40" i="34"/>
  <c r="D42" i="34"/>
  <c r="D41" i="34"/>
  <c r="D45" i="34"/>
  <c r="D47" i="34"/>
  <c r="D46" i="34"/>
  <c r="I39" i="32"/>
  <c r="I44" i="32"/>
  <c r="I42" i="32"/>
  <c r="I45" i="32"/>
  <c r="I47" i="32"/>
  <c r="I40" i="32"/>
  <c r="I46" i="32"/>
  <c r="I48" i="32"/>
  <c r="I43" i="32"/>
  <c r="I41" i="32"/>
  <c r="L39" i="36"/>
  <c r="L46" i="36"/>
  <c r="L47" i="36"/>
  <c r="L40" i="36"/>
  <c r="L42" i="36"/>
  <c r="L45" i="36"/>
  <c r="L43" i="36"/>
  <c r="L41" i="36"/>
  <c r="L44" i="36"/>
  <c r="L48" i="36"/>
  <c r="AC46" i="48"/>
  <c r="AC47" i="48"/>
  <c r="AC48" i="48"/>
  <c r="AC39" i="48"/>
  <c r="AC40" i="48"/>
  <c r="AC45" i="48"/>
  <c r="AC42" i="48"/>
  <c r="AC41" i="48"/>
  <c r="AC43" i="48"/>
  <c r="AC44" i="48"/>
  <c r="H41" i="32"/>
  <c r="H42" i="32"/>
  <c r="E128" i="32" s="1"/>
  <c r="H44" i="32"/>
  <c r="E130" i="32" s="1"/>
  <c r="H47" i="32"/>
  <c r="E133" i="32" s="1"/>
  <c r="H43" i="32"/>
  <c r="E129" i="32" s="1"/>
  <c r="H39" i="32"/>
  <c r="H40" i="32"/>
  <c r="E126" i="32" s="1"/>
  <c r="H46" i="32"/>
  <c r="H45" i="32"/>
  <c r="E131" i="32" s="1"/>
  <c r="H48" i="32"/>
  <c r="Y42" i="32"/>
  <c r="Y41" i="32"/>
  <c r="Y45" i="32"/>
  <c r="Y40" i="32"/>
  <c r="Y43" i="32"/>
  <c r="Y39" i="32"/>
  <c r="Y47" i="32"/>
  <c r="Y46" i="32"/>
  <c r="Y44" i="32"/>
  <c r="Y48" i="32"/>
  <c r="X44" i="32"/>
  <c r="X45" i="32"/>
  <c r="X42" i="32"/>
  <c r="X40" i="32"/>
  <c r="X41" i="32"/>
  <c r="X43" i="32"/>
  <c r="X39" i="32"/>
  <c r="X46" i="32"/>
  <c r="X47" i="32"/>
  <c r="X48" i="32"/>
  <c r="Q40" i="47"/>
  <c r="Q43" i="47"/>
  <c r="Q39" i="47"/>
  <c r="Q46" i="47"/>
  <c r="Q45" i="47"/>
  <c r="Q44" i="47"/>
  <c r="Q47" i="47"/>
  <c r="Q42" i="47"/>
  <c r="Q48" i="47"/>
  <c r="Q41" i="47"/>
  <c r="E40" i="34"/>
  <c r="E48" i="34"/>
  <c r="E39" i="34"/>
  <c r="E43" i="34"/>
  <c r="E44" i="34"/>
  <c r="E45" i="34"/>
  <c r="E46" i="34"/>
  <c r="E41" i="34"/>
  <c r="E47" i="34"/>
  <c r="E42" i="34"/>
  <c r="Q42" i="49"/>
  <c r="Q43" i="49"/>
  <c r="Q39" i="49"/>
  <c r="Q45" i="49"/>
  <c r="Q48" i="49"/>
  <c r="Q44" i="49"/>
  <c r="Q46" i="49"/>
  <c r="Q41" i="49"/>
  <c r="Q40" i="49"/>
  <c r="Q47" i="49"/>
  <c r="M39" i="36"/>
  <c r="M45" i="36"/>
  <c r="M40" i="36"/>
  <c r="M41" i="36"/>
  <c r="M44" i="36"/>
  <c r="M46" i="36"/>
  <c r="M47" i="36"/>
  <c r="M42" i="36"/>
  <c r="M48" i="36"/>
  <c r="M43" i="36"/>
  <c r="X40" i="31"/>
  <c r="X45" i="31"/>
  <c r="X44" i="31"/>
  <c r="X43" i="31"/>
  <c r="X47" i="31"/>
  <c r="X42" i="31"/>
  <c r="X46" i="31"/>
  <c r="X41" i="31"/>
  <c r="X39" i="31"/>
  <c r="X48" i="31"/>
  <c r="L46" i="48"/>
  <c r="L47" i="48"/>
  <c r="L48" i="48"/>
  <c r="L41" i="48"/>
  <c r="L39" i="48"/>
  <c r="L42" i="48"/>
  <c r="L45" i="48"/>
  <c r="L43" i="48"/>
  <c r="L40" i="48"/>
  <c r="L44" i="48"/>
  <c r="AA42" i="31"/>
  <c r="AA45" i="31"/>
  <c r="AA48" i="31"/>
  <c r="AA46" i="31"/>
  <c r="AA41" i="31"/>
  <c r="AA39" i="31"/>
  <c r="AA47" i="31"/>
  <c r="AA40" i="31"/>
  <c r="AA44" i="31"/>
  <c r="AA43" i="31"/>
  <c r="F40" i="31"/>
  <c r="F45" i="31"/>
  <c r="F44" i="31"/>
  <c r="F48" i="31"/>
  <c r="F43" i="31"/>
  <c r="F47" i="31"/>
  <c r="F46" i="31"/>
  <c r="F41" i="31"/>
  <c r="F42" i="31"/>
  <c r="F39" i="31"/>
  <c r="V47" i="31"/>
  <c r="V45" i="31"/>
  <c r="V48" i="31"/>
  <c r="V44" i="31"/>
  <c r="V40" i="31"/>
  <c r="V46" i="31"/>
  <c r="V41" i="31"/>
  <c r="V39" i="31"/>
  <c r="V42" i="31"/>
  <c r="V43" i="31"/>
  <c r="J41" i="36"/>
  <c r="J39" i="36"/>
  <c r="J46" i="36"/>
  <c r="J48" i="36"/>
  <c r="J44" i="36"/>
  <c r="J47" i="36"/>
  <c r="J40" i="36"/>
  <c r="J43" i="36"/>
  <c r="J45" i="36"/>
  <c r="J42" i="36"/>
  <c r="Z43" i="36"/>
  <c r="Z41" i="36"/>
  <c r="Z42" i="36"/>
  <c r="Z47" i="36"/>
  <c r="Z48" i="36"/>
  <c r="Z40" i="36"/>
  <c r="Z44" i="36"/>
  <c r="Z46" i="36"/>
  <c r="Z39" i="36"/>
  <c r="Z45" i="36"/>
  <c r="N43" i="49"/>
  <c r="N39" i="49"/>
  <c r="N41" i="49"/>
  <c r="N48" i="49"/>
  <c r="N46" i="49"/>
  <c r="N42" i="49"/>
  <c r="N47" i="49"/>
  <c r="N40" i="49"/>
  <c r="N45" i="49"/>
  <c r="N44" i="49"/>
  <c r="B40" i="34"/>
  <c r="B44" i="34"/>
  <c r="B41" i="34"/>
  <c r="B45" i="34"/>
  <c r="B42" i="34"/>
  <c r="B47" i="34"/>
  <c r="B46" i="34"/>
  <c r="B43" i="34"/>
  <c r="B48" i="34"/>
  <c r="B39" i="34"/>
  <c r="R47" i="34"/>
  <c r="C133" i="34" s="1"/>
  <c r="D133" i="34" s="1"/>
  <c r="R45" i="34"/>
  <c r="C131" i="34" s="1"/>
  <c r="D131" i="34" s="1"/>
  <c r="R40" i="34"/>
  <c r="C126" i="34" s="1"/>
  <c r="R41" i="34"/>
  <c r="C127" i="34" s="1"/>
  <c r="D127" i="34" s="1"/>
  <c r="R39" i="34"/>
  <c r="R43" i="34"/>
  <c r="C129" i="34" s="1"/>
  <c r="D129" i="34" s="1"/>
  <c r="R44" i="34"/>
  <c r="C130" i="34" s="1"/>
  <c r="D130" i="34" s="1"/>
  <c r="R46" i="34"/>
  <c r="C132" i="34" s="1"/>
  <c r="D132" i="34" s="1"/>
  <c r="R42" i="34"/>
  <c r="C128" i="34" s="1"/>
  <c r="D128" i="34" s="1"/>
  <c r="R48" i="34"/>
  <c r="C134" i="34" s="1"/>
  <c r="D134" i="34" s="1"/>
  <c r="F45" i="32"/>
  <c r="F41" i="32"/>
  <c r="F44" i="32"/>
  <c r="F43" i="32"/>
  <c r="F40" i="32"/>
  <c r="F47" i="32"/>
  <c r="F46" i="32"/>
  <c r="F42" i="32"/>
  <c r="F48" i="32"/>
  <c r="F39" i="32"/>
  <c r="V47" i="32"/>
  <c r="V45" i="32"/>
  <c r="V43" i="32"/>
  <c r="V40" i="32"/>
  <c r="V41" i="32"/>
  <c r="V46" i="32"/>
  <c r="V39" i="32"/>
  <c r="V42" i="32"/>
  <c r="V44" i="32"/>
  <c r="V48" i="32"/>
  <c r="J46" i="48"/>
  <c r="J47" i="48"/>
  <c r="J48" i="48"/>
  <c r="J41" i="48"/>
  <c r="J43" i="48"/>
  <c r="J45" i="48"/>
  <c r="J40" i="48"/>
  <c r="J39" i="48"/>
  <c r="J42" i="48"/>
  <c r="J44" i="48"/>
  <c r="Z47" i="48"/>
  <c r="Z48" i="48"/>
  <c r="Z46" i="48"/>
  <c r="Z39" i="48"/>
  <c r="Z41" i="48"/>
  <c r="Z42" i="48"/>
  <c r="Z45" i="48"/>
  <c r="Z43" i="48"/>
  <c r="Z40" i="48"/>
  <c r="Z44" i="48"/>
  <c r="N42" i="47"/>
  <c r="N44" i="47"/>
  <c r="N45" i="47"/>
  <c r="N40" i="47"/>
  <c r="N47" i="47"/>
  <c r="N39" i="47"/>
  <c r="N48" i="47"/>
  <c r="N43" i="47"/>
  <c r="N41" i="47"/>
  <c r="N46" i="47"/>
  <c r="D44" i="51"/>
  <c r="D40" i="51"/>
  <c r="D41" i="51"/>
  <c r="D43" i="51"/>
  <c r="D48" i="51"/>
  <c r="D39" i="51"/>
  <c r="D42" i="51"/>
  <c r="D47" i="51"/>
  <c r="D45" i="51"/>
  <c r="D46" i="51"/>
  <c r="AB39" i="31"/>
  <c r="AB48" i="31"/>
  <c r="AB43" i="31"/>
  <c r="AB45" i="31"/>
  <c r="AB40" i="31"/>
  <c r="AB46" i="31"/>
  <c r="AB44" i="31"/>
  <c r="AB41" i="31"/>
  <c r="AB47" i="31"/>
  <c r="AB42" i="31"/>
  <c r="L39" i="37"/>
  <c r="L46" i="37"/>
  <c r="L48" i="37"/>
  <c r="L45" i="37"/>
  <c r="L41" i="37"/>
  <c r="L40" i="37"/>
  <c r="L47" i="37"/>
  <c r="L42" i="37"/>
  <c r="L43" i="37"/>
  <c r="L44" i="37"/>
  <c r="Y23" i="48"/>
  <c r="AB39" i="47"/>
  <c r="AB41" i="47"/>
  <c r="AB44" i="47"/>
  <c r="AB45" i="47"/>
  <c r="AB40" i="47"/>
  <c r="AB42" i="47"/>
  <c r="AB46" i="47"/>
  <c r="AB43" i="47"/>
  <c r="AB47" i="47"/>
  <c r="AB48" i="47"/>
  <c r="W45" i="48"/>
  <c r="W47" i="48"/>
  <c r="W46" i="48"/>
  <c r="W48" i="48"/>
  <c r="W42" i="48"/>
  <c r="W40" i="48"/>
  <c r="W41" i="48"/>
  <c r="W44" i="48"/>
  <c r="W39" i="48"/>
  <c r="W43" i="48"/>
  <c r="I43" i="49"/>
  <c r="I45" i="49"/>
  <c r="I44" i="49"/>
  <c r="I42" i="49"/>
  <c r="I46" i="49"/>
  <c r="I39" i="49"/>
  <c r="I41" i="49"/>
  <c r="I48" i="49"/>
  <c r="I40" i="49"/>
  <c r="I47" i="49"/>
  <c r="F41" i="51"/>
  <c r="F48" i="51"/>
  <c r="F45" i="51"/>
  <c r="F40" i="51"/>
  <c r="F39" i="51"/>
  <c r="F46" i="51"/>
  <c r="F42" i="51"/>
  <c r="F43" i="51"/>
  <c r="F47" i="51"/>
  <c r="F44" i="51"/>
  <c r="G44" i="31"/>
  <c r="G42" i="31"/>
  <c r="G40" i="31"/>
  <c r="G45" i="31"/>
  <c r="G47" i="31"/>
  <c r="G43" i="31"/>
  <c r="G48" i="31"/>
  <c r="G39" i="31"/>
  <c r="G41" i="31"/>
  <c r="G46" i="31"/>
  <c r="W45" i="31"/>
  <c r="W47" i="31"/>
  <c r="W44" i="31"/>
  <c r="W48" i="31"/>
  <c r="W40" i="31"/>
  <c r="W42" i="31"/>
  <c r="W41" i="31"/>
  <c r="W46" i="31"/>
  <c r="W43" i="31"/>
  <c r="W39" i="31"/>
  <c r="K41" i="36"/>
  <c r="K39" i="36"/>
  <c r="K46" i="36"/>
  <c r="K40" i="36"/>
  <c r="K45" i="36"/>
  <c r="K42" i="36"/>
  <c r="K43" i="36"/>
  <c r="K47" i="36"/>
  <c r="K48" i="36"/>
  <c r="K44" i="36"/>
  <c r="AA47" i="36"/>
  <c r="AA41" i="36"/>
  <c r="AA43" i="36"/>
  <c r="AA45" i="36"/>
  <c r="AA42" i="36"/>
  <c r="AA40" i="36"/>
  <c r="AA48" i="36"/>
  <c r="AA44" i="36"/>
  <c r="AA46" i="36"/>
  <c r="AA39" i="36"/>
  <c r="O42" i="49"/>
  <c r="O43" i="49"/>
  <c r="O39" i="49"/>
  <c r="O45" i="49"/>
  <c r="O46" i="49"/>
  <c r="O47" i="49"/>
  <c r="O40" i="49"/>
  <c r="O41" i="49"/>
  <c r="O48" i="49"/>
  <c r="O44" i="49"/>
  <c r="C39" i="34"/>
  <c r="C43" i="34"/>
  <c r="C44" i="34"/>
  <c r="C41" i="34"/>
  <c r="C46" i="34"/>
  <c r="C42" i="34"/>
  <c r="C40" i="34"/>
  <c r="C48" i="34"/>
  <c r="C45" i="34"/>
  <c r="C47" i="34"/>
  <c r="S45" i="34"/>
  <c r="S47" i="34"/>
  <c r="S39" i="34"/>
  <c r="S43" i="34"/>
  <c r="S44" i="34"/>
  <c r="S41" i="34"/>
  <c r="S46" i="34"/>
  <c r="S42" i="34"/>
  <c r="S40" i="34"/>
  <c r="S48" i="34"/>
  <c r="G45" i="32"/>
  <c r="G42" i="32"/>
  <c r="G43" i="32"/>
  <c r="G40" i="32"/>
  <c r="G41" i="32"/>
  <c r="G47" i="32"/>
  <c r="G46" i="32"/>
  <c r="G39" i="32"/>
  <c r="G48" i="32"/>
  <c r="G44" i="32"/>
  <c r="W45" i="32"/>
  <c r="W47" i="32"/>
  <c r="W44" i="32"/>
  <c r="W42" i="32"/>
  <c r="W41" i="32"/>
  <c r="W40" i="32"/>
  <c r="W43" i="32"/>
  <c r="W39" i="32"/>
  <c r="W46" i="32"/>
  <c r="W48" i="32"/>
  <c r="K39" i="48"/>
  <c r="K46" i="48"/>
  <c r="K48" i="48"/>
  <c r="K47" i="48"/>
  <c r="K42" i="48"/>
  <c r="K41" i="48"/>
  <c r="K45" i="48"/>
  <c r="K40" i="48"/>
  <c r="K43" i="48"/>
  <c r="K44" i="48"/>
  <c r="AA47" i="48"/>
  <c r="AA48" i="48"/>
  <c r="AA45" i="48"/>
  <c r="AA46" i="48"/>
  <c r="AA43" i="48"/>
  <c r="AA42" i="48"/>
  <c r="AA40" i="48"/>
  <c r="AA44" i="48"/>
  <c r="AA39" i="48"/>
  <c r="AA41" i="48"/>
  <c r="O40" i="47"/>
  <c r="O42" i="47"/>
  <c r="O43" i="47"/>
  <c r="O41" i="47"/>
  <c r="O44" i="47"/>
  <c r="O39" i="47"/>
  <c r="O48" i="47"/>
  <c r="O45" i="47"/>
  <c r="O46" i="47"/>
  <c r="O47" i="47"/>
  <c r="C45" i="49"/>
  <c r="C42" i="49"/>
  <c r="C44" i="49"/>
  <c r="C43" i="49"/>
  <c r="C39" i="49"/>
  <c r="C41" i="49"/>
  <c r="C47" i="49"/>
  <c r="C46" i="49"/>
  <c r="C40" i="49"/>
  <c r="C48" i="49"/>
  <c r="M46" i="48"/>
  <c r="M47" i="48"/>
  <c r="M39" i="48"/>
  <c r="M48" i="48"/>
  <c r="M44" i="48"/>
  <c r="M45" i="48"/>
  <c r="M42" i="48"/>
  <c r="M41" i="48"/>
  <c r="M40" i="48"/>
  <c r="M43" i="48"/>
  <c r="AA41" i="47"/>
  <c r="AA39" i="47"/>
  <c r="AA45" i="47"/>
  <c r="AA40" i="47"/>
  <c r="AA44" i="47"/>
  <c r="AA48" i="47"/>
  <c r="AA42" i="47"/>
  <c r="AA46" i="47"/>
  <c r="AA43" i="47"/>
  <c r="AA47" i="47"/>
  <c r="F46" i="52"/>
  <c r="F39" i="52"/>
  <c r="F47" i="52"/>
  <c r="F44" i="52"/>
  <c r="F43" i="52"/>
  <c r="F45" i="52"/>
  <c r="F41" i="52"/>
  <c r="F40" i="52"/>
  <c r="F48" i="52"/>
  <c r="F42" i="52"/>
  <c r="K41" i="31"/>
  <c r="K45" i="31"/>
  <c r="K46" i="31"/>
  <c r="K39" i="31"/>
  <c r="K48" i="31"/>
  <c r="K47" i="31"/>
  <c r="K40" i="31"/>
  <c r="K44" i="31"/>
  <c r="K43" i="31"/>
  <c r="K42" i="31"/>
  <c r="J39" i="31"/>
  <c r="J48" i="31"/>
  <c r="J45" i="31"/>
  <c r="J44" i="31"/>
  <c r="J43" i="31"/>
  <c r="J40" i="31"/>
  <c r="J46" i="31"/>
  <c r="J41" i="31"/>
  <c r="J42" i="31"/>
  <c r="J47" i="31"/>
  <c r="Z39" i="31"/>
  <c r="Z42" i="31"/>
  <c r="Z48" i="31"/>
  <c r="Z40" i="31"/>
  <c r="Z45" i="31"/>
  <c r="Z46" i="31"/>
  <c r="Z43" i="31"/>
  <c r="Z44" i="31"/>
  <c r="Z47" i="31"/>
  <c r="Z41" i="31"/>
  <c r="N41" i="36"/>
  <c r="N40" i="36"/>
  <c r="N48" i="36"/>
  <c r="N46" i="36"/>
  <c r="N45" i="36"/>
  <c r="N42" i="36"/>
  <c r="N39" i="36"/>
  <c r="N43" i="36"/>
  <c r="N47" i="36"/>
  <c r="N44" i="36"/>
  <c r="B45" i="49"/>
  <c r="B47" i="49"/>
  <c r="B41" i="49"/>
  <c r="B40" i="49"/>
  <c r="B39" i="49"/>
  <c r="B43" i="49"/>
  <c r="B44" i="49"/>
  <c r="B48" i="49"/>
  <c r="B42" i="49"/>
  <c r="B46" i="49"/>
  <c r="R45" i="49"/>
  <c r="C131" i="49" s="1"/>
  <c r="D131" i="49" s="1"/>
  <c r="R47" i="49"/>
  <c r="C133" i="49" s="1"/>
  <c r="D133" i="49" s="1"/>
  <c r="R42" i="49"/>
  <c r="C128" i="49" s="1"/>
  <c r="D128" i="49" s="1"/>
  <c r="R44" i="49"/>
  <c r="C130" i="49" s="1"/>
  <c r="D130" i="49" s="1"/>
  <c r="R43" i="49"/>
  <c r="C129" i="49" s="1"/>
  <c r="D129" i="49" s="1"/>
  <c r="R48" i="49"/>
  <c r="C134" i="49" s="1"/>
  <c r="D134" i="49" s="1"/>
  <c r="R39" i="49"/>
  <c r="R46" i="49"/>
  <c r="C132" i="49" s="1"/>
  <c r="D132" i="49" s="1"/>
  <c r="R41" i="49"/>
  <c r="C127" i="49" s="1"/>
  <c r="D127" i="49" s="1"/>
  <c r="R40" i="49"/>
  <c r="C126" i="49" s="1"/>
  <c r="F41" i="34"/>
  <c r="F40" i="34"/>
  <c r="F48" i="34"/>
  <c r="F42" i="34"/>
  <c r="F39" i="34"/>
  <c r="F46" i="34"/>
  <c r="F47" i="34"/>
  <c r="F45" i="34"/>
  <c r="F43" i="34"/>
  <c r="F44" i="34"/>
  <c r="V47" i="34"/>
  <c r="V45" i="34"/>
  <c r="V39" i="34"/>
  <c r="V42" i="34"/>
  <c r="V40" i="34"/>
  <c r="V43" i="34"/>
  <c r="V44" i="34"/>
  <c r="V48" i="34"/>
  <c r="V41" i="34"/>
  <c r="V46" i="34"/>
  <c r="Z42" i="32"/>
  <c r="Z44" i="32"/>
  <c r="Z41" i="32"/>
  <c r="Z40" i="32"/>
  <c r="Z43" i="32"/>
  <c r="Z39" i="32"/>
  <c r="Z46" i="32"/>
  <c r="Z47" i="32"/>
  <c r="Z45" i="32"/>
  <c r="Z48" i="32"/>
  <c r="N46" i="48"/>
  <c r="N47" i="48"/>
  <c r="N39" i="48"/>
  <c r="N48" i="48"/>
  <c r="N43" i="48"/>
  <c r="N40" i="48"/>
  <c r="N41" i="48"/>
  <c r="N44" i="48"/>
  <c r="N45" i="48"/>
  <c r="N42" i="48"/>
  <c r="B40" i="47"/>
  <c r="B39" i="47"/>
  <c r="B41" i="47"/>
  <c r="B46" i="47"/>
  <c r="B42" i="47"/>
  <c r="B47" i="47"/>
  <c r="B43" i="47"/>
  <c r="B44" i="47"/>
  <c r="B45" i="47"/>
  <c r="B48" i="47"/>
  <c r="R45" i="47"/>
  <c r="C131" i="47" s="1"/>
  <c r="D131" i="47" s="1"/>
  <c r="R47" i="47"/>
  <c r="C133" i="47" s="1"/>
  <c r="D133" i="47" s="1"/>
  <c r="R39" i="47"/>
  <c r="R40" i="47"/>
  <c r="C126" i="47" s="1"/>
  <c r="R42" i="47"/>
  <c r="C128" i="47" s="1"/>
  <c r="D128" i="47" s="1"/>
  <c r="R46" i="47"/>
  <c r="C132" i="47" s="1"/>
  <c r="D132" i="47" s="1"/>
  <c r="R44" i="47"/>
  <c r="C130" i="47" s="1"/>
  <c r="D130" i="47" s="1"/>
  <c r="R41" i="47"/>
  <c r="C127" i="47" s="1"/>
  <c r="D127" i="47" s="1"/>
  <c r="R43" i="47"/>
  <c r="C129" i="47" s="1"/>
  <c r="D129" i="47" s="1"/>
  <c r="R48" i="47"/>
  <c r="C134" i="47" s="1"/>
  <c r="D134" i="47" s="1"/>
  <c r="V45" i="48"/>
  <c r="V47" i="48"/>
  <c r="V48" i="48"/>
  <c r="V46" i="48"/>
  <c r="V40" i="48"/>
  <c r="V42" i="48"/>
  <c r="V39" i="48"/>
  <c r="V41" i="48"/>
  <c r="V44" i="48"/>
  <c r="V43" i="48"/>
  <c r="U47" i="34"/>
  <c r="U45" i="34"/>
  <c r="U40" i="34"/>
  <c r="U48" i="34"/>
  <c r="U39" i="34"/>
  <c r="U41" i="34"/>
  <c r="U42" i="34"/>
  <c r="U46" i="34"/>
  <c r="U43" i="34"/>
  <c r="U44" i="34"/>
  <c r="Y42" i="47"/>
  <c r="Y44" i="47"/>
  <c r="Y40" i="47"/>
  <c r="Y43" i="47"/>
  <c r="Y41" i="47"/>
  <c r="Y48" i="47"/>
  <c r="Y45" i="47"/>
  <c r="Y46" i="47"/>
  <c r="Y47" i="47"/>
  <c r="Y39" i="47"/>
  <c r="S45" i="49"/>
  <c r="S47" i="49"/>
  <c r="S41" i="49"/>
  <c r="S42" i="49"/>
  <c r="S44" i="49"/>
  <c r="S43" i="49"/>
  <c r="S39" i="49"/>
  <c r="S48" i="49"/>
  <c r="S46" i="49"/>
  <c r="S40" i="49"/>
  <c r="AC40" i="47"/>
  <c r="AC42" i="47"/>
  <c r="AC41" i="47"/>
  <c r="AC43" i="47"/>
  <c r="AC45" i="47"/>
  <c r="AC39" i="47"/>
  <c r="AC47" i="47"/>
  <c r="AC44" i="47"/>
  <c r="AC48" i="47"/>
  <c r="AC46" i="47"/>
  <c r="L43" i="51"/>
  <c r="L40" i="51"/>
  <c r="L41" i="51"/>
  <c r="L44" i="51"/>
  <c r="L47" i="51"/>
  <c r="L45" i="51"/>
  <c r="L46" i="51"/>
  <c r="L39" i="51"/>
  <c r="L42" i="51"/>
  <c r="L48" i="51"/>
  <c r="H47" i="52"/>
  <c r="H45" i="52"/>
  <c r="H39" i="52"/>
  <c r="H43" i="52"/>
  <c r="H44" i="52"/>
  <c r="H48" i="52"/>
  <c r="H46" i="52"/>
  <c r="H40" i="52"/>
  <c r="H41" i="52"/>
  <c r="H42" i="52"/>
  <c r="C40" i="31"/>
  <c r="C47" i="31"/>
  <c r="C46" i="31"/>
  <c r="C48" i="31"/>
  <c r="C39" i="31"/>
  <c r="C43" i="31"/>
  <c r="C45" i="31"/>
  <c r="C41" i="31"/>
  <c r="C42" i="31"/>
  <c r="C44" i="31"/>
  <c r="O40" i="36"/>
  <c r="O41" i="36"/>
  <c r="O45" i="36"/>
  <c r="O47" i="36"/>
  <c r="O39" i="36"/>
  <c r="O43" i="36"/>
  <c r="O48" i="36"/>
  <c r="O44" i="36"/>
  <c r="O46" i="36"/>
  <c r="O42" i="36"/>
  <c r="G39" i="34"/>
  <c r="G42" i="34"/>
  <c r="G40" i="34"/>
  <c r="G45" i="34"/>
  <c r="G41" i="34"/>
  <c r="G48" i="34"/>
  <c r="G44" i="34"/>
  <c r="G46" i="34"/>
  <c r="G47" i="34"/>
  <c r="G43" i="34"/>
  <c r="C42" i="47"/>
  <c r="C40" i="47"/>
  <c r="C41" i="47"/>
  <c r="C39" i="47"/>
  <c r="C46" i="47"/>
  <c r="C43" i="47"/>
  <c r="C44" i="47"/>
  <c r="C45" i="47"/>
  <c r="C48" i="47"/>
  <c r="C47" i="47"/>
  <c r="S45" i="47"/>
  <c r="S47" i="47"/>
  <c r="S40" i="47"/>
  <c r="S43" i="47"/>
  <c r="S41" i="47"/>
  <c r="S44" i="47"/>
  <c r="S39" i="47"/>
  <c r="S46" i="47"/>
  <c r="S48" i="47"/>
  <c r="S42" i="47"/>
  <c r="B47" i="52"/>
  <c r="B45" i="52"/>
  <c r="B48" i="52"/>
  <c r="B46" i="52"/>
  <c r="B39" i="52"/>
  <c r="B43" i="52"/>
  <c r="B44" i="52"/>
  <c r="B42" i="52"/>
  <c r="B40" i="52"/>
  <c r="B41" i="52"/>
  <c r="AB47" i="36"/>
  <c r="AB39" i="36"/>
  <c r="AB41" i="36"/>
  <c r="AB42" i="36"/>
  <c r="AB40" i="36"/>
  <c r="AB43" i="36"/>
  <c r="AB46" i="36"/>
  <c r="AB45" i="36"/>
  <c r="AB48" i="36"/>
  <c r="AB44" i="36"/>
  <c r="X39" i="48"/>
  <c r="X48" i="48"/>
  <c r="X46" i="48"/>
  <c r="X40" i="48"/>
  <c r="X47" i="48"/>
  <c r="X44" i="48"/>
  <c r="X45" i="48"/>
  <c r="X42" i="48"/>
  <c r="X41" i="48"/>
  <c r="X43" i="48"/>
  <c r="T45" i="49"/>
  <c r="T47" i="49"/>
  <c r="T41" i="49"/>
  <c r="T44" i="49"/>
  <c r="T43" i="49"/>
  <c r="T46" i="49"/>
  <c r="T42" i="49"/>
  <c r="T48" i="49"/>
  <c r="T39" i="49"/>
  <c r="T40" i="49"/>
  <c r="N40" i="51"/>
  <c r="N42" i="51"/>
  <c r="N46" i="51"/>
  <c r="N39" i="51"/>
  <c r="N43" i="51"/>
  <c r="N44" i="51"/>
  <c r="N48" i="51"/>
  <c r="N47" i="51"/>
  <c r="N45" i="51"/>
  <c r="N41" i="51"/>
  <c r="J44" i="52"/>
  <c r="J47" i="52"/>
  <c r="J39" i="52"/>
  <c r="J48" i="52"/>
  <c r="J40" i="52"/>
  <c r="J43" i="52"/>
  <c r="J46" i="52"/>
  <c r="J42" i="52"/>
  <c r="J41" i="52"/>
  <c r="J45" i="52"/>
  <c r="P48" i="36"/>
  <c r="P40" i="36"/>
  <c r="P46" i="36"/>
  <c r="P45" i="36"/>
  <c r="P47" i="36"/>
  <c r="P39" i="36"/>
  <c r="P44" i="36"/>
  <c r="P43" i="36"/>
  <c r="P41" i="36"/>
  <c r="P42" i="36"/>
  <c r="D39" i="47"/>
  <c r="D40" i="47"/>
  <c r="D41" i="47"/>
  <c r="D42" i="47"/>
  <c r="D45" i="47"/>
  <c r="D46" i="47"/>
  <c r="D44" i="47"/>
  <c r="D48" i="47"/>
  <c r="D43" i="47"/>
  <c r="D47" i="47"/>
  <c r="T45" i="47"/>
  <c r="T47" i="47"/>
  <c r="T42" i="47"/>
  <c r="T44" i="47"/>
  <c r="T40" i="47"/>
  <c r="T41" i="47"/>
  <c r="T43" i="47"/>
  <c r="T39" i="47"/>
  <c r="T46" i="47"/>
  <c r="T48" i="47"/>
  <c r="H44" i="31"/>
  <c r="E130" i="31" s="1"/>
  <c r="H39" i="31"/>
  <c r="H42" i="31"/>
  <c r="H40" i="31"/>
  <c r="E126" i="31" s="1"/>
  <c r="H45" i="31"/>
  <c r="E131" i="31" s="1"/>
  <c r="H47" i="31"/>
  <c r="E133" i="31" s="1"/>
  <c r="H41" i="31"/>
  <c r="H43" i="31"/>
  <c r="E129" i="31" s="1"/>
  <c r="H48" i="31"/>
  <c r="H46" i="31"/>
  <c r="AA39" i="34"/>
  <c r="AA48" i="34"/>
  <c r="AA41" i="34"/>
  <c r="AA45" i="34"/>
  <c r="AA47" i="34"/>
  <c r="AA44" i="34"/>
  <c r="AA46" i="34"/>
  <c r="AA40" i="34"/>
  <c r="AA43" i="34"/>
  <c r="AA42" i="34"/>
  <c r="K40" i="32"/>
  <c r="K46" i="32"/>
  <c r="K39" i="32"/>
  <c r="K41" i="32"/>
  <c r="K45" i="32"/>
  <c r="K43" i="32"/>
  <c r="K44" i="32"/>
  <c r="K47" i="32"/>
  <c r="K48" i="32"/>
  <c r="K42" i="32"/>
  <c r="B47" i="37"/>
  <c r="B45" i="37"/>
  <c r="B39" i="37"/>
  <c r="B46" i="37"/>
  <c r="B48" i="37"/>
  <c r="B42" i="37"/>
  <c r="B43" i="37"/>
  <c r="B40" i="37"/>
  <c r="B41" i="37"/>
  <c r="B44" i="37"/>
  <c r="K44" i="47"/>
  <c r="K40" i="47"/>
  <c r="K42" i="47"/>
  <c r="K48" i="47"/>
  <c r="K43" i="47"/>
  <c r="K45" i="47"/>
  <c r="K39" i="47"/>
  <c r="K47" i="47"/>
  <c r="K41" i="47"/>
  <c r="K46" i="47"/>
  <c r="D47" i="48"/>
  <c r="D48" i="48"/>
  <c r="D46" i="48"/>
  <c r="D43" i="48"/>
  <c r="D40" i="48"/>
  <c r="D41" i="48"/>
  <c r="D39" i="48"/>
  <c r="D42" i="48"/>
  <c r="D44" i="48"/>
  <c r="D45" i="48"/>
  <c r="E48" i="48"/>
  <c r="E46" i="48"/>
  <c r="E47" i="48"/>
  <c r="E43" i="48"/>
  <c r="E41" i="48"/>
  <c r="E42" i="48"/>
  <c r="E40" i="48"/>
  <c r="E44" i="48"/>
  <c r="E45" i="48"/>
  <c r="E39" i="48"/>
  <c r="U45" i="49"/>
  <c r="U47" i="49"/>
  <c r="U39" i="49"/>
  <c r="U41" i="49"/>
  <c r="U48" i="49"/>
  <c r="U42" i="49"/>
  <c r="U44" i="49"/>
  <c r="U46" i="49"/>
  <c r="U43" i="49"/>
  <c r="U40" i="49"/>
  <c r="M44" i="52"/>
  <c r="M48" i="52"/>
  <c r="M47" i="52"/>
  <c r="M39" i="52"/>
  <c r="M43" i="52"/>
  <c r="M46" i="52"/>
  <c r="M45" i="52"/>
  <c r="M41" i="52"/>
  <c r="M42" i="52"/>
  <c r="M40" i="52"/>
  <c r="L44" i="52"/>
  <c r="L48" i="52"/>
  <c r="L47" i="52"/>
  <c r="L43" i="52"/>
  <c r="L46" i="52"/>
  <c r="L45" i="52"/>
  <c r="L40" i="52"/>
  <c r="L39" i="52"/>
  <c r="L42" i="52"/>
  <c r="L41" i="52"/>
  <c r="Q39" i="36"/>
  <c r="Q48" i="36"/>
  <c r="Q44" i="36"/>
  <c r="Q42" i="36"/>
  <c r="Q43" i="36"/>
  <c r="Q45" i="36"/>
  <c r="Q40" i="36"/>
  <c r="Q46" i="36"/>
  <c r="Q41" i="36"/>
  <c r="Q47" i="36"/>
  <c r="I48" i="34"/>
  <c r="I39" i="34"/>
  <c r="I46" i="34"/>
  <c r="I47" i="34"/>
  <c r="I42" i="34"/>
  <c r="I43" i="34"/>
  <c r="I44" i="34"/>
  <c r="I40" i="34"/>
  <c r="I41" i="34"/>
  <c r="I45" i="34"/>
  <c r="AC46" i="32"/>
  <c r="AC41" i="32"/>
  <c r="AC44" i="32"/>
  <c r="AC45" i="32"/>
  <c r="AC43" i="32"/>
  <c r="AC42" i="32"/>
  <c r="AC39" i="32"/>
  <c r="AC40" i="32"/>
  <c r="AC47" i="32"/>
  <c r="AC48" i="32"/>
  <c r="U45" i="47"/>
  <c r="U47" i="47"/>
  <c r="U41" i="47"/>
  <c r="U42" i="47"/>
  <c r="U44" i="47"/>
  <c r="U40" i="47"/>
  <c r="U43" i="47"/>
  <c r="U46" i="47"/>
  <c r="U39" i="47"/>
  <c r="U48" i="47"/>
  <c r="D45" i="52"/>
  <c r="D46" i="52"/>
  <c r="D47" i="52"/>
  <c r="D39" i="52"/>
  <c r="D43" i="52"/>
  <c r="D48" i="52"/>
  <c r="D41" i="52"/>
  <c r="D42" i="52"/>
  <c r="D44" i="52"/>
  <c r="D40" i="52"/>
  <c r="C44" i="32"/>
  <c r="C45" i="32"/>
  <c r="C42" i="32"/>
  <c r="C43" i="32"/>
  <c r="C41" i="32"/>
  <c r="C40" i="32"/>
  <c r="C39" i="32"/>
  <c r="C47" i="32"/>
  <c r="C46" i="32"/>
  <c r="C48" i="32"/>
  <c r="H47" i="36"/>
  <c r="E133" i="36" s="1"/>
  <c r="H40" i="36"/>
  <c r="E126" i="36" s="1"/>
  <c r="H41" i="36"/>
  <c r="H48" i="36"/>
  <c r="H42" i="36"/>
  <c r="E128" i="36" s="1"/>
  <c r="H45" i="36"/>
  <c r="E131" i="36" s="1"/>
  <c r="H46" i="36"/>
  <c r="H43" i="36"/>
  <c r="E129" i="36" s="1"/>
  <c r="H39" i="36"/>
  <c r="H44" i="36"/>
  <c r="E130" i="36" s="1"/>
  <c r="H48" i="48"/>
  <c r="H46" i="48"/>
  <c r="H47" i="48"/>
  <c r="E133" i="48" s="1"/>
  <c r="H43" i="48"/>
  <c r="E129" i="48" s="1"/>
  <c r="H45" i="48"/>
  <c r="E131" i="48" s="1"/>
  <c r="H39" i="48"/>
  <c r="H42" i="48"/>
  <c r="H44" i="48"/>
  <c r="E130" i="48" s="1"/>
  <c r="H40" i="48"/>
  <c r="E126" i="48" s="1"/>
  <c r="H41" i="48"/>
  <c r="C48" i="48"/>
  <c r="C46" i="48"/>
  <c r="C47" i="48"/>
  <c r="C43" i="48"/>
  <c r="C44" i="48"/>
  <c r="C39" i="48"/>
  <c r="C40" i="48"/>
  <c r="C41" i="48"/>
  <c r="C42" i="48"/>
  <c r="C45" i="48"/>
  <c r="Y42" i="36"/>
  <c r="Y41" i="36"/>
  <c r="Y44" i="36"/>
  <c r="Y47" i="36"/>
  <c r="Y43" i="36"/>
  <c r="Y45" i="36"/>
  <c r="Y46" i="36"/>
  <c r="Y48" i="36"/>
  <c r="Y40" i="36"/>
  <c r="Y39" i="36"/>
  <c r="P40" i="32"/>
  <c r="P44" i="32"/>
  <c r="P39" i="32"/>
  <c r="P41" i="32"/>
  <c r="P45" i="32"/>
  <c r="P46" i="32"/>
  <c r="P42" i="32"/>
  <c r="P43" i="32"/>
  <c r="P47" i="32"/>
  <c r="P48" i="32"/>
  <c r="Y48" i="34"/>
  <c r="Y40" i="34"/>
  <c r="Y46" i="34"/>
  <c r="Y47" i="34"/>
  <c r="Y42" i="34"/>
  <c r="Y43" i="34"/>
  <c r="Y44" i="34"/>
  <c r="Y41" i="34"/>
  <c r="Y45" i="34"/>
  <c r="Y39" i="34"/>
  <c r="M40" i="32"/>
  <c r="M43" i="32"/>
  <c r="M47" i="32"/>
  <c r="M39" i="32"/>
  <c r="M46" i="32"/>
  <c r="M44" i="32"/>
  <c r="M41" i="32"/>
  <c r="M42" i="32"/>
  <c r="M45" i="32"/>
  <c r="M48" i="32"/>
  <c r="S45" i="36"/>
  <c r="S47" i="36"/>
  <c r="S46" i="36"/>
  <c r="S44" i="36"/>
  <c r="S39" i="36"/>
  <c r="S48" i="36"/>
  <c r="S42" i="36"/>
  <c r="S40" i="36"/>
  <c r="S43" i="36"/>
  <c r="S41" i="36"/>
  <c r="C47" i="37"/>
  <c r="C45" i="37"/>
  <c r="C39" i="37"/>
  <c r="C46" i="37"/>
  <c r="C48" i="37"/>
  <c r="C42" i="37"/>
  <c r="C44" i="37"/>
  <c r="C40" i="37"/>
  <c r="C43" i="37"/>
  <c r="C41" i="37"/>
  <c r="E41" i="47"/>
  <c r="E42" i="47"/>
  <c r="E44" i="47"/>
  <c r="E40" i="47"/>
  <c r="E46" i="47"/>
  <c r="E39" i="47"/>
  <c r="E43" i="47"/>
  <c r="E45" i="47"/>
  <c r="E48" i="47"/>
  <c r="E47" i="47"/>
  <c r="J24" i="48"/>
  <c r="G46" i="48"/>
  <c r="G48" i="48"/>
  <c r="G47" i="48"/>
  <c r="G43" i="48"/>
  <c r="G39" i="48"/>
  <c r="G44" i="48"/>
  <c r="G42" i="48"/>
  <c r="G40" i="48"/>
  <c r="G41" i="48"/>
  <c r="G45" i="48"/>
  <c r="K48" i="52"/>
  <c r="K44" i="52"/>
  <c r="K47" i="52"/>
  <c r="K43" i="52"/>
  <c r="K46" i="52"/>
  <c r="K39" i="52"/>
  <c r="K40" i="52"/>
  <c r="K45" i="52"/>
  <c r="K41" i="52"/>
  <c r="K42" i="52"/>
  <c r="N48" i="52"/>
  <c r="N47" i="52"/>
  <c r="N39" i="52"/>
  <c r="N43" i="52"/>
  <c r="N46" i="52"/>
  <c r="N45" i="52"/>
  <c r="N44" i="52"/>
  <c r="N40" i="52"/>
  <c r="N42" i="52"/>
  <c r="N41" i="52"/>
  <c r="N45" i="31"/>
  <c r="N40" i="31"/>
  <c r="N48" i="31"/>
  <c r="N39" i="31"/>
  <c r="N43" i="31"/>
  <c r="N41" i="31"/>
  <c r="N46" i="31"/>
  <c r="N47" i="31"/>
  <c r="N42" i="31"/>
  <c r="N44" i="31"/>
  <c r="B42" i="36"/>
  <c r="B47" i="36"/>
  <c r="B44" i="36"/>
  <c r="B45" i="36"/>
  <c r="B39" i="36"/>
  <c r="B46" i="36"/>
  <c r="B48" i="36"/>
  <c r="B40" i="36"/>
  <c r="B43" i="36"/>
  <c r="B41" i="36"/>
  <c r="R47" i="36"/>
  <c r="C133" i="36" s="1"/>
  <c r="D133" i="36" s="1"/>
  <c r="R45" i="36"/>
  <c r="C131" i="36" s="1"/>
  <c r="D131" i="36" s="1"/>
  <c r="R44" i="36"/>
  <c r="C130" i="36" s="1"/>
  <c r="D130" i="36" s="1"/>
  <c r="R43" i="36"/>
  <c r="C129" i="36" s="1"/>
  <c r="D129" i="36" s="1"/>
  <c r="R40" i="36"/>
  <c r="C126" i="36" s="1"/>
  <c r="R42" i="36"/>
  <c r="C128" i="36" s="1"/>
  <c r="D128" i="36" s="1"/>
  <c r="R46" i="36"/>
  <c r="C132" i="36" s="1"/>
  <c r="D132" i="36" s="1"/>
  <c r="R41" i="36"/>
  <c r="C127" i="36" s="1"/>
  <c r="D127" i="36" s="1"/>
  <c r="R39" i="36"/>
  <c r="R48" i="36"/>
  <c r="C134" i="36" s="1"/>
  <c r="D134" i="36" s="1"/>
  <c r="F46" i="49"/>
  <c r="F41" i="49"/>
  <c r="F47" i="49"/>
  <c r="F45" i="49"/>
  <c r="F43" i="49"/>
  <c r="F48" i="49"/>
  <c r="F44" i="49"/>
  <c r="F40" i="49"/>
  <c r="F42" i="49"/>
  <c r="F39" i="49"/>
  <c r="V47" i="49"/>
  <c r="V45" i="49"/>
  <c r="V46" i="49"/>
  <c r="V48" i="49"/>
  <c r="V41" i="49"/>
  <c r="V39" i="49"/>
  <c r="V43" i="49"/>
  <c r="V42" i="49"/>
  <c r="V44" i="49"/>
  <c r="V40" i="49"/>
  <c r="J48" i="34"/>
  <c r="J39" i="34"/>
  <c r="J40" i="34"/>
  <c r="J47" i="34"/>
  <c r="J42" i="34"/>
  <c r="J45" i="34"/>
  <c r="J43" i="34"/>
  <c r="J44" i="34"/>
  <c r="J46" i="34"/>
  <c r="J41" i="34"/>
  <c r="Z48" i="34"/>
  <c r="Z39" i="34"/>
  <c r="Z43" i="34"/>
  <c r="Z44" i="34"/>
  <c r="Z46" i="34"/>
  <c r="Z40" i="34"/>
  <c r="Z41" i="34"/>
  <c r="Z42" i="34"/>
  <c r="Z47" i="34"/>
  <c r="Z45" i="34"/>
  <c r="N45" i="32"/>
  <c r="N40" i="32"/>
  <c r="N43" i="32"/>
  <c r="N39" i="32"/>
  <c r="N47" i="32"/>
  <c r="N46" i="32"/>
  <c r="N44" i="32"/>
  <c r="N42" i="32"/>
  <c r="N48" i="32"/>
  <c r="N41" i="32"/>
  <c r="B42" i="48"/>
  <c r="B47" i="48"/>
  <c r="B43" i="48"/>
  <c r="B44" i="48"/>
  <c r="B46" i="48"/>
  <c r="B45" i="48"/>
  <c r="B39" i="48"/>
  <c r="B40" i="48"/>
  <c r="B48" i="48"/>
  <c r="B41" i="48"/>
  <c r="F41" i="47"/>
  <c r="F42" i="47"/>
  <c r="F44" i="47"/>
  <c r="F39" i="47"/>
  <c r="F40" i="47"/>
  <c r="F47" i="47"/>
  <c r="F46" i="47"/>
  <c r="F43" i="47"/>
  <c r="F45" i="47"/>
  <c r="F48" i="47"/>
  <c r="V45" i="47"/>
  <c r="V47" i="47"/>
  <c r="V41" i="47"/>
  <c r="V42" i="47"/>
  <c r="V44" i="47"/>
  <c r="V39" i="47"/>
  <c r="V40" i="47"/>
  <c r="V46" i="47"/>
  <c r="V43" i="47"/>
  <c r="V48" i="47"/>
  <c r="J42" i="51"/>
  <c r="J43" i="51"/>
  <c r="J39" i="51"/>
  <c r="J40" i="51"/>
  <c r="J41" i="51"/>
  <c r="J44" i="51"/>
  <c r="J48" i="51"/>
  <c r="J45" i="51"/>
  <c r="J46" i="51"/>
  <c r="J47" i="51"/>
  <c r="P46" i="48"/>
  <c r="P47" i="48"/>
  <c r="P48" i="48"/>
  <c r="P40" i="48"/>
  <c r="P43" i="48"/>
  <c r="P44" i="48"/>
  <c r="P39" i="48"/>
  <c r="P41" i="48"/>
  <c r="P45" i="48"/>
  <c r="P42" i="48"/>
  <c r="D48" i="36"/>
  <c r="D42" i="36"/>
  <c r="D43" i="36"/>
  <c r="D45" i="36"/>
  <c r="D41" i="36"/>
  <c r="D40" i="36"/>
  <c r="D46" i="36"/>
  <c r="D47" i="36"/>
  <c r="D44" i="36"/>
  <c r="D39" i="36"/>
  <c r="AB39" i="32"/>
  <c r="AB42" i="32"/>
  <c r="AB40" i="32"/>
  <c r="AB41" i="32"/>
  <c r="AB44" i="32"/>
  <c r="AB45" i="32"/>
  <c r="AB46" i="32"/>
  <c r="AB48" i="32"/>
  <c r="AB43" i="32"/>
  <c r="AB47" i="32"/>
  <c r="M41" i="47"/>
  <c r="M43" i="47"/>
  <c r="M44" i="47"/>
  <c r="M40" i="47"/>
  <c r="M42" i="47"/>
  <c r="M47" i="47"/>
  <c r="M46" i="47"/>
  <c r="M48" i="47"/>
  <c r="M45" i="47"/>
  <c r="M39" i="47"/>
  <c r="L43" i="32"/>
  <c r="L39" i="32"/>
  <c r="L47" i="32"/>
  <c r="L46" i="32"/>
  <c r="L44" i="32"/>
  <c r="L40" i="32"/>
  <c r="L41" i="32"/>
  <c r="L42" i="32"/>
  <c r="L45" i="32"/>
  <c r="L48" i="32"/>
  <c r="O39" i="34"/>
  <c r="O40" i="34"/>
  <c r="O46" i="34"/>
  <c r="O42" i="34"/>
  <c r="O41" i="34"/>
  <c r="O45" i="34"/>
  <c r="O44" i="34"/>
  <c r="O48" i="34"/>
  <c r="O47" i="34"/>
  <c r="O43" i="34"/>
  <c r="I42" i="36"/>
  <c r="I44" i="36"/>
  <c r="I40" i="36"/>
  <c r="I41" i="36"/>
  <c r="I47" i="36"/>
  <c r="I43" i="36"/>
  <c r="I48" i="36"/>
  <c r="I46" i="36"/>
  <c r="I39" i="36"/>
  <c r="I45" i="36"/>
  <c r="O42" i="32"/>
  <c r="O43" i="32"/>
  <c r="O39" i="32"/>
  <c r="O44" i="32"/>
  <c r="O45" i="32"/>
  <c r="O40" i="32"/>
  <c r="O47" i="32"/>
  <c r="O46" i="32"/>
  <c r="O48" i="32"/>
  <c r="O41" i="32"/>
  <c r="T45" i="36"/>
  <c r="T47" i="36"/>
  <c r="T39" i="36"/>
  <c r="T48" i="36"/>
  <c r="T44" i="36"/>
  <c r="T43" i="36"/>
  <c r="T42" i="36"/>
  <c r="T40" i="36"/>
  <c r="T41" i="36"/>
  <c r="T46" i="36"/>
  <c r="D46" i="37"/>
  <c r="D48" i="37"/>
  <c r="D39" i="37"/>
  <c r="D43" i="37"/>
  <c r="D45" i="37"/>
  <c r="D41" i="37"/>
  <c r="D42" i="37"/>
  <c r="D47" i="37"/>
  <c r="D40" i="37"/>
  <c r="D44" i="37"/>
  <c r="J23" i="48"/>
  <c r="H45" i="47"/>
  <c r="E131" i="47" s="1"/>
  <c r="H42" i="47"/>
  <c r="H41" i="47"/>
  <c r="H40" i="47"/>
  <c r="E126" i="47" s="1"/>
  <c r="H44" i="47"/>
  <c r="E130" i="47" s="1"/>
  <c r="H43" i="47"/>
  <c r="E129" i="47" s="1"/>
  <c r="H47" i="47"/>
  <c r="E133" i="47" s="1"/>
  <c r="H39" i="47"/>
  <c r="H46" i="47"/>
  <c r="H48" i="47"/>
  <c r="I46" i="48"/>
  <c r="I47" i="48"/>
  <c r="I48" i="48"/>
  <c r="I39" i="48"/>
  <c r="I42" i="48"/>
  <c r="I43" i="48"/>
  <c r="I45" i="48"/>
  <c r="I44" i="48"/>
  <c r="I41" i="48"/>
  <c r="I40" i="48"/>
  <c r="H44" i="49"/>
  <c r="E130" i="49" s="1"/>
  <c r="H43" i="49"/>
  <c r="E129" i="49" s="1"/>
  <c r="H39" i="49"/>
  <c r="H42" i="49"/>
  <c r="E128" i="49" s="1"/>
  <c r="H48" i="49"/>
  <c r="H41" i="49"/>
  <c r="H46" i="49"/>
  <c r="H45" i="49"/>
  <c r="E131" i="49" s="1"/>
  <c r="H40" i="49"/>
  <c r="E126" i="49" s="1"/>
  <c r="H47" i="49"/>
  <c r="E133" i="49" s="1"/>
  <c r="AB39" i="49"/>
  <c r="AB41" i="49"/>
  <c r="AB47" i="49"/>
  <c r="AB44" i="49"/>
  <c r="AB46" i="49"/>
  <c r="AB43" i="49"/>
  <c r="AB40" i="49"/>
  <c r="AB42" i="49"/>
  <c r="AB45" i="49"/>
  <c r="AB48" i="49"/>
  <c r="M41" i="51"/>
  <c r="M44" i="51"/>
  <c r="M42" i="51"/>
  <c r="M45" i="51"/>
  <c r="M46" i="51"/>
  <c r="M39" i="51"/>
  <c r="M40" i="51"/>
  <c r="M43" i="51"/>
  <c r="M47" i="51"/>
  <c r="M48" i="51"/>
  <c r="I47" i="52"/>
  <c r="I45" i="52"/>
  <c r="I44" i="52"/>
  <c r="I48" i="52"/>
  <c r="I39" i="52"/>
  <c r="I40" i="52"/>
  <c r="I43" i="52"/>
  <c r="I41" i="52"/>
  <c r="I42" i="52"/>
  <c r="I46" i="52"/>
  <c r="AC46" i="31"/>
  <c r="AC39" i="31"/>
  <c r="AC48" i="31"/>
  <c r="AC43" i="31"/>
  <c r="AC41" i="31"/>
  <c r="AC40" i="31"/>
  <c r="AC45" i="31"/>
  <c r="AC47" i="31"/>
  <c r="AC44" i="31"/>
  <c r="AC42" i="31"/>
  <c r="C42" i="36"/>
  <c r="C47" i="36"/>
  <c r="C39" i="36"/>
  <c r="C41" i="36"/>
  <c r="C48" i="36"/>
  <c r="C43" i="36"/>
  <c r="C46" i="36"/>
  <c r="C45" i="36"/>
  <c r="C40" i="36"/>
  <c r="C44" i="36"/>
  <c r="W45" i="49"/>
  <c r="W47" i="49"/>
  <c r="W43" i="49"/>
  <c r="W48" i="49"/>
  <c r="W41" i="49"/>
  <c r="W42" i="49"/>
  <c r="W44" i="49"/>
  <c r="W39" i="49"/>
  <c r="W46" i="49"/>
  <c r="W40" i="49"/>
  <c r="G41" i="47"/>
  <c r="G40" i="47"/>
  <c r="G42" i="47"/>
  <c r="G39" i="47"/>
  <c r="G47" i="47"/>
  <c r="G46" i="47"/>
  <c r="G43" i="47"/>
  <c r="G44" i="47"/>
  <c r="G45" i="47"/>
  <c r="G48" i="47"/>
  <c r="W45" i="47"/>
  <c r="W47" i="47"/>
  <c r="W41" i="47"/>
  <c r="W40" i="47"/>
  <c r="W39" i="47"/>
  <c r="W43" i="47"/>
  <c r="W46" i="47"/>
  <c r="W44" i="47"/>
  <c r="W42" i="47"/>
  <c r="W48" i="47"/>
  <c r="AB39" i="34"/>
  <c r="AB48" i="34"/>
  <c r="AB40" i="34"/>
  <c r="AB41" i="34"/>
  <c r="AB45" i="34"/>
  <c r="AB44" i="34"/>
  <c r="AB46" i="34"/>
  <c r="AB47" i="34"/>
  <c r="AB43" i="34"/>
  <c r="AB42" i="34"/>
  <c r="N23" i="48"/>
  <c r="O46" i="48"/>
  <c r="O47" i="48"/>
  <c r="O39" i="48"/>
  <c r="O48" i="48"/>
  <c r="O44" i="48"/>
  <c r="O40" i="48"/>
  <c r="O41" i="48"/>
  <c r="O42" i="48"/>
  <c r="O43" i="48"/>
  <c r="O45" i="48"/>
  <c r="K43" i="51"/>
  <c r="K40" i="51"/>
  <c r="K41" i="51"/>
  <c r="K44" i="51"/>
  <c r="K47" i="51"/>
  <c r="K45" i="51"/>
  <c r="K39" i="51"/>
  <c r="K42" i="51"/>
  <c r="K46" i="51"/>
  <c r="K48" i="51"/>
  <c r="G45" i="52"/>
  <c r="G47" i="52"/>
  <c r="G39" i="52"/>
  <c r="G43" i="52"/>
  <c r="G44" i="52"/>
  <c r="G46" i="52"/>
  <c r="G40" i="52"/>
  <c r="G48" i="52"/>
  <c r="G41" i="52"/>
  <c r="G42" i="52"/>
  <c r="X45" i="49"/>
  <c r="X44" i="49"/>
  <c r="X42" i="49"/>
  <c r="X48" i="49"/>
  <c r="X39" i="49"/>
  <c r="X41" i="49"/>
  <c r="X40" i="49"/>
  <c r="X47" i="49"/>
  <c r="X43" i="49"/>
  <c r="X46" i="49"/>
  <c r="K48" i="34"/>
  <c r="K39" i="34"/>
  <c r="K40" i="34"/>
  <c r="K41" i="34"/>
  <c r="K44" i="34"/>
  <c r="K47" i="34"/>
  <c r="K42" i="34"/>
  <c r="K45" i="34"/>
  <c r="K43" i="34"/>
  <c r="K46" i="34"/>
  <c r="S47" i="32"/>
  <c r="S45" i="32"/>
  <c r="S41" i="32"/>
  <c r="S43" i="32"/>
  <c r="S39" i="32"/>
  <c r="S46" i="32"/>
  <c r="S42" i="32"/>
  <c r="S44" i="32"/>
  <c r="S40" i="32"/>
  <c r="S48" i="32"/>
  <c r="H39" i="34"/>
  <c r="H41" i="34"/>
  <c r="H48" i="34"/>
  <c r="H42" i="34"/>
  <c r="E128" i="34" s="1"/>
  <c r="H40" i="34"/>
  <c r="E126" i="34" s="1"/>
  <c r="H44" i="34"/>
  <c r="E130" i="34" s="1"/>
  <c r="H46" i="34"/>
  <c r="H45" i="34"/>
  <c r="E131" i="34" s="1"/>
  <c r="H47" i="34"/>
  <c r="E133" i="34" s="1"/>
  <c r="H43" i="34"/>
  <c r="E129" i="34" s="1"/>
  <c r="W45" i="36"/>
  <c r="W47" i="36"/>
  <c r="W43" i="36"/>
  <c r="W48" i="36"/>
  <c r="W40" i="36"/>
  <c r="W42" i="36"/>
  <c r="W44" i="36"/>
  <c r="W46" i="36"/>
  <c r="W41" i="36"/>
  <c r="W39" i="36"/>
  <c r="F48" i="37"/>
  <c r="F45" i="37"/>
  <c r="F46" i="37"/>
  <c r="F43" i="37"/>
  <c r="F39" i="37"/>
  <c r="F41" i="37"/>
  <c r="F40" i="37"/>
  <c r="F47" i="37"/>
  <c r="F42" i="37"/>
  <c r="F44" i="37"/>
  <c r="P23" i="48"/>
  <c r="J41" i="47"/>
  <c r="J40" i="47"/>
  <c r="J42" i="47"/>
  <c r="J44" i="47"/>
  <c r="J43" i="47"/>
  <c r="J48" i="47"/>
  <c r="J45" i="47"/>
  <c r="J39" i="47"/>
  <c r="J47" i="47"/>
  <c r="J46" i="47"/>
  <c r="Q39" i="48"/>
  <c r="Q46" i="48"/>
  <c r="Q47" i="48"/>
  <c r="Q48" i="48"/>
  <c r="Q44" i="48"/>
  <c r="Q43" i="48"/>
  <c r="Q40" i="48"/>
  <c r="Q45" i="48"/>
  <c r="Q41" i="48"/>
  <c r="Q42" i="48"/>
  <c r="I47" i="51"/>
  <c r="I45" i="51"/>
  <c r="I42" i="51"/>
  <c r="I39" i="51"/>
  <c r="I40" i="51"/>
  <c r="I41" i="51"/>
  <c r="I48" i="51"/>
  <c r="I46" i="51"/>
  <c r="I43" i="51"/>
  <c r="I44" i="51"/>
  <c r="E46" i="52"/>
  <c r="E39" i="52"/>
  <c r="E43" i="52"/>
  <c r="E47" i="52"/>
  <c r="E44" i="52"/>
  <c r="E48" i="52"/>
  <c r="E45" i="52"/>
  <c r="E41" i="52"/>
  <c r="E42" i="52"/>
  <c r="E40" i="52"/>
  <c r="O41" i="31"/>
  <c r="O46" i="31"/>
  <c r="O43" i="31"/>
  <c r="O45" i="31"/>
  <c r="O47" i="31"/>
  <c r="O42" i="31"/>
  <c r="O44" i="31"/>
  <c r="O48" i="31"/>
  <c r="O39" i="31"/>
  <c r="O40" i="31"/>
  <c r="E43" i="36"/>
  <c r="E41" i="36"/>
  <c r="E39" i="36"/>
  <c r="E42" i="36"/>
  <c r="E48" i="36"/>
  <c r="E40" i="36"/>
  <c r="E47" i="36"/>
  <c r="E46" i="36"/>
  <c r="E44" i="36"/>
  <c r="E45" i="36"/>
  <c r="Y47" i="49"/>
  <c r="Y45" i="49"/>
  <c r="Y44" i="49"/>
  <c r="Y48" i="49"/>
  <c r="Y42" i="49"/>
  <c r="Y39" i="49"/>
  <c r="Y43" i="49"/>
  <c r="Y41" i="49"/>
  <c r="Y46" i="49"/>
  <c r="Y40" i="49"/>
  <c r="Q45" i="32"/>
  <c r="Q46" i="32"/>
  <c r="Q41" i="32"/>
  <c r="Q43" i="32"/>
  <c r="Q39" i="32"/>
  <c r="Q40" i="32"/>
  <c r="Q44" i="32"/>
  <c r="Q48" i="32"/>
  <c r="Q47" i="32"/>
  <c r="Q42" i="32"/>
  <c r="I45" i="47"/>
  <c r="I42" i="47"/>
  <c r="I43" i="47"/>
  <c r="I39" i="47"/>
  <c r="I41" i="47"/>
  <c r="I48" i="47"/>
  <c r="I40" i="47"/>
  <c r="I47" i="47"/>
  <c r="I46" i="47"/>
  <c r="I44" i="47"/>
  <c r="N39" i="37"/>
  <c r="N46" i="37"/>
  <c r="N40" i="37"/>
  <c r="N47" i="37"/>
  <c r="N42" i="37"/>
  <c r="N48" i="37"/>
  <c r="N45" i="37"/>
  <c r="N43" i="37"/>
  <c r="N41" i="37"/>
  <c r="N44" i="37"/>
  <c r="AB47" i="48"/>
  <c r="AB48" i="48"/>
  <c r="AB46" i="48"/>
  <c r="AB39" i="48"/>
  <c r="AB43" i="48"/>
  <c r="AB40" i="48"/>
  <c r="AB41" i="48"/>
  <c r="AB42" i="48"/>
  <c r="AB45" i="48"/>
  <c r="AB44" i="48"/>
  <c r="AC41" i="36"/>
  <c r="AC46" i="36"/>
  <c r="AC39" i="36"/>
  <c r="AC42" i="36"/>
  <c r="AC40" i="36"/>
  <c r="AC43" i="36"/>
  <c r="AC45" i="36"/>
  <c r="AC48" i="36"/>
  <c r="AC47" i="36"/>
  <c r="AC44" i="36"/>
  <c r="M39" i="34"/>
  <c r="M47" i="34"/>
  <c r="M48" i="34"/>
  <c r="M45" i="34"/>
  <c r="M41" i="34"/>
  <c r="M44" i="34"/>
  <c r="M43" i="34"/>
  <c r="M40" i="34"/>
  <c r="M46" i="34"/>
  <c r="M42" i="34"/>
  <c r="U45" i="36"/>
  <c r="U47" i="36"/>
  <c r="U43" i="36"/>
  <c r="U48" i="36"/>
  <c r="U39" i="36"/>
  <c r="U46" i="36"/>
  <c r="U42" i="36"/>
  <c r="U41" i="36"/>
  <c r="U40" i="36"/>
  <c r="U44" i="36"/>
  <c r="G47" i="51"/>
  <c r="G45" i="51"/>
  <c r="G41" i="51"/>
  <c r="G39" i="51"/>
  <c r="G48" i="51"/>
  <c r="G40" i="51"/>
  <c r="G43" i="51"/>
  <c r="G46" i="51"/>
  <c r="G42" i="51"/>
  <c r="G44" i="51"/>
  <c r="C45" i="52"/>
  <c r="C47" i="52"/>
  <c r="C48" i="52"/>
  <c r="C46" i="52"/>
  <c r="C39" i="52"/>
  <c r="C43" i="52"/>
  <c r="C42" i="52"/>
  <c r="C41" i="52"/>
  <c r="C44" i="52"/>
  <c r="C40" i="52"/>
  <c r="M39" i="31"/>
  <c r="M43" i="31"/>
  <c r="M46" i="31"/>
  <c r="M48" i="31"/>
  <c r="M45" i="31"/>
  <c r="M41" i="31"/>
  <c r="M42" i="31"/>
  <c r="M40" i="31"/>
  <c r="M47" i="31"/>
  <c r="M44" i="31"/>
  <c r="B42" i="31"/>
  <c r="B41" i="31"/>
  <c r="B45" i="31"/>
  <c r="B44" i="31"/>
  <c r="B43" i="31"/>
  <c r="B40" i="31"/>
  <c r="B47" i="31"/>
  <c r="B46" i="31"/>
  <c r="B39" i="31"/>
  <c r="B48" i="31"/>
  <c r="R47" i="31"/>
  <c r="C133" i="31" s="1"/>
  <c r="D133" i="31" s="1"/>
  <c r="R45" i="31"/>
  <c r="C131" i="31" s="1"/>
  <c r="D131" i="31" s="1"/>
  <c r="R43" i="31"/>
  <c r="C129" i="31" s="1"/>
  <c r="D129" i="31" s="1"/>
  <c r="R41" i="31"/>
  <c r="C127" i="31" s="1"/>
  <c r="D127" i="31" s="1"/>
  <c r="R44" i="31"/>
  <c r="C130" i="31" s="1"/>
  <c r="D130" i="31" s="1"/>
  <c r="R42" i="31"/>
  <c r="C128" i="31" s="1"/>
  <c r="D128" i="31" s="1"/>
  <c r="R46" i="31"/>
  <c r="C132" i="31" s="1"/>
  <c r="D132" i="31" s="1"/>
  <c r="R40" i="31"/>
  <c r="C126" i="31" s="1"/>
  <c r="R39" i="31"/>
  <c r="R48" i="31"/>
  <c r="C134" i="31" s="1"/>
  <c r="D134" i="31" s="1"/>
  <c r="F42" i="36"/>
  <c r="F41" i="36"/>
  <c r="F40" i="36"/>
  <c r="F39" i="36"/>
  <c r="F48" i="36"/>
  <c r="F47" i="36"/>
  <c r="F43" i="36"/>
  <c r="F45" i="36"/>
  <c r="F46" i="36"/>
  <c r="F44" i="36"/>
  <c r="V45" i="36"/>
  <c r="V47" i="36"/>
  <c r="V43" i="36"/>
  <c r="V39" i="36"/>
  <c r="V42" i="36"/>
  <c r="V48" i="36"/>
  <c r="V41" i="36"/>
  <c r="V46" i="36"/>
  <c r="V44" i="36"/>
  <c r="V40" i="36"/>
  <c r="J40" i="49"/>
  <c r="J45" i="49"/>
  <c r="J44" i="49"/>
  <c r="J46" i="49"/>
  <c r="J42" i="49"/>
  <c r="J43" i="49"/>
  <c r="J39" i="49"/>
  <c r="J48" i="49"/>
  <c r="J41" i="49"/>
  <c r="J47" i="49"/>
  <c r="Z47" i="49"/>
  <c r="Z44" i="49"/>
  <c r="Z42" i="49"/>
  <c r="Z40" i="49"/>
  <c r="Z41" i="49"/>
  <c r="Z48" i="49"/>
  <c r="Z45" i="49"/>
  <c r="Z39" i="49"/>
  <c r="Z46" i="49"/>
  <c r="Z43" i="49"/>
  <c r="N47" i="34"/>
  <c r="N48" i="34"/>
  <c r="N39" i="34"/>
  <c r="N42" i="34"/>
  <c r="N41" i="34"/>
  <c r="N40" i="34"/>
  <c r="N45" i="34"/>
  <c r="N44" i="34"/>
  <c r="N43" i="34"/>
  <c r="N46" i="34"/>
  <c r="F47" i="48"/>
  <c r="F48" i="48"/>
  <c r="F46" i="48"/>
  <c r="F45" i="48"/>
  <c r="F40" i="48"/>
  <c r="F43" i="48"/>
  <c r="F39" i="48"/>
  <c r="F44" i="48"/>
  <c r="F41" i="48"/>
  <c r="F42" i="48"/>
  <c r="Z41" i="47"/>
  <c r="Z40" i="47"/>
  <c r="Z42" i="47"/>
  <c r="Z43" i="47"/>
  <c r="Z45" i="47"/>
  <c r="Z39" i="47"/>
  <c r="Z47" i="47"/>
  <c r="Z46" i="47"/>
  <c r="Z44" i="47"/>
  <c r="Z48" i="47"/>
  <c r="T45" i="34"/>
  <c r="T47" i="34"/>
  <c r="T40" i="34"/>
  <c r="T39" i="34"/>
  <c r="T48" i="34"/>
  <c r="T43" i="34"/>
  <c r="T44" i="34"/>
  <c r="T41" i="34"/>
  <c r="T42" i="34"/>
  <c r="T46" i="34"/>
  <c r="J39" i="32"/>
  <c r="J41" i="32"/>
  <c r="J42" i="32"/>
  <c r="J44" i="32"/>
  <c r="J46" i="32"/>
  <c r="J45" i="32"/>
  <c r="J40" i="32"/>
  <c r="J43" i="32"/>
  <c r="J47" i="32"/>
  <c r="J48" i="32"/>
  <c r="D42" i="32"/>
  <c r="D45" i="32"/>
  <c r="D44" i="32"/>
  <c r="D46" i="32"/>
  <c r="D40" i="32"/>
  <c r="D41" i="32"/>
  <c r="D39" i="32"/>
  <c r="D47" i="32"/>
  <c r="D43" i="32"/>
  <c r="D48" i="32"/>
  <c r="T47" i="32"/>
  <c r="T45" i="32"/>
  <c r="T42" i="32"/>
  <c r="T41" i="32"/>
  <c r="T40" i="32"/>
  <c r="T46" i="32"/>
  <c r="T39" i="32"/>
  <c r="T44" i="32"/>
  <c r="T43" i="32"/>
  <c r="T48" i="32"/>
  <c r="G47" i="37"/>
  <c r="G45" i="37"/>
  <c r="G48" i="37"/>
  <c r="G46" i="37"/>
  <c r="G43" i="37"/>
  <c r="G39" i="37"/>
  <c r="G40" i="37"/>
  <c r="G44" i="37"/>
  <c r="G42" i="37"/>
  <c r="G41" i="37"/>
  <c r="R23" i="48"/>
  <c r="R47" i="48"/>
  <c r="C133" i="48" s="1"/>
  <c r="D133" i="48" s="1"/>
  <c r="R45" i="48"/>
  <c r="C131" i="48" s="1"/>
  <c r="D131" i="48" s="1"/>
  <c r="R46" i="48"/>
  <c r="C132" i="48" s="1"/>
  <c r="D132" i="48" s="1"/>
  <c r="R42" i="48"/>
  <c r="C128" i="48" s="1"/>
  <c r="D128" i="48" s="1"/>
  <c r="R44" i="48"/>
  <c r="C130" i="48" s="1"/>
  <c r="D130" i="48" s="1"/>
  <c r="R43" i="48"/>
  <c r="C129" i="48" s="1"/>
  <c r="D129" i="48" s="1"/>
  <c r="R39" i="48"/>
  <c r="R40" i="48"/>
  <c r="C126" i="48" s="1"/>
  <c r="R41" i="48"/>
  <c r="C127" i="48" s="1"/>
  <c r="D127" i="48" s="1"/>
  <c r="R48" i="48"/>
  <c r="C134" i="48" s="1"/>
  <c r="D134" i="48" s="1"/>
  <c r="D45" i="49"/>
  <c r="D41" i="49"/>
  <c r="D44" i="49"/>
  <c r="D43" i="49"/>
  <c r="D39" i="49"/>
  <c r="D47" i="49"/>
  <c r="D46" i="49"/>
  <c r="D40" i="49"/>
  <c r="D48" i="49"/>
  <c r="D42" i="49"/>
  <c r="B47" i="32"/>
  <c r="B42" i="32"/>
  <c r="B41" i="32"/>
  <c r="B43" i="32"/>
  <c r="B45" i="32"/>
  <c r="B44" i="32"/>
  <c r="B39" i="32"/>
  <c r="B48" i="32"/>
  <c r="B40" i="32"/>
  <c r="B46" i="32"/>
  <c r="U47" i="32"/>
  <c r="U45" i="32"/>
  <c r="U42" i="32"/>
  <c r="U43" i="32"/>
  <c r="U41" i="32"/>
  <c r="U46" i="32"/>
  <c r="U44" i="32"/>
  <c r="U39" i="32"/>
  <c r="U40" i="32"/>
  <c r="U48" i="32"/>
  <c r="P39" i="34"/>
  <c r="P41" i="34"/>
  <c r="P40" i="34"/>
  <c r="P46" i="34"/>
  <c r="P42" i="34"/>
  <c r="P48" i="34"/>
  <c r="P47" i="34"/>
  <c r="P43" i="34"/>
  <c r="P44" i="34"/>
  <c r="P45" i="34"/>
  <c r="H47" i="37"/>
  <c r="H45" i="37"/>
  <c r="H48" i="37"/>
  <c r="H39" i="37"/>
  <c r="H43" i="37"/>
  <c r="H44" i="37"/>
  <c r="H40" i="37"/>
  <c r="H41" i="37"/>
  <c r="H46" i="37"/>
  <c r="H42" i="37"/>
  <c r="X23" i="48"/>
  <c r="L39" i="47"/>
  <c r="L41" i="47"/>
  <c r="L44" i="47"/>
  <c r="L45" i="47"/>
  <c r="L40" i="47"/>
  <c r="L47" i="47"/>
  <c r="L46" i="47"/>
  <c r="L48" i="47"/>
  <c r="L43" i="47"/>
  <c r="L42" i="47"/>
  <c r="S45" i="48"/>
  <c r="S47" i="48"/>
  <c r="S48" i="48"/>
  <c r="S39" i="48"/>
  <c r="S46" i="48"/>
  <c r="S42" i="48"/>
  <c r="S44" i="48"/>
  <c r="S40" i="48"/>
  <c r="S41" i="48"/>
  <c r="S43" i="48"/>
  <c r="E40" i="51"/>
  <c r="E41" i="51"/>
  <c r="E43" i="51"/>
  <c r="E44" i="51"/>
  <c r="E48" i="51"/>
  <c r="E45" i="51"/>
  <c r="E39" i="51"/>
  <c r="E46" i="51"/>
  <c r="E47" i="51"/>
  <c r="E42" i="51"/>
  <c r="D46" i="31"/>
  <c r="D44" i="31"/>
  <c r="D47" i="31"/>
  <c r="D41" i="31"/>
  <c r="D48" i="31"/>
  <c r="D40" i="31"/>
  <c r="D42" i="31"/>
  <c r="D45" i="31"/>
  <c r="D39" i="31"/>
  <c r="D43" i="31"/>
  <c r="E40" i="31"/>
  <c r="E47" i="31"/>
  <c r="E44" i="31"/>
  <c r="E43" i="31"/>
  <c r="E45" i="31"/>
  <c r="E41" i="31"/>
  <c r="E42" i="31"/>
  <c r="E46" i="31"/>
  <c r="E39" i="31"/>
  <c r="E48" i="31"/>
  <c r="S47" i="31"/>
  <c r="S45" i="31"/>
  <c r="S40" i="31"/>
  <c r="S44" i="31"/>
  <c r="S46" i="31"/>
  <c r="S39" i="31"/>
  <c r="S42" i="31"/>
  <c r="S48" i="31"/>
  <c r="S41" i="31"/>
  <c r="S43" i="31"/>
  <c r="K43" i="49"/>
  <c r="K47" i="49"/>
  <c r="K44" i="49"/>
  <c r="K46" i="49"/>
  <c r="K45" i="49"/>
  <c r="K42" i="49"/>
  <c r="K39" i="49"/>
  <c r="K41" i="49"/>
  <c r="K40" i="49"/>
  <c r="K48" i="49"/>
  <c r="X48" i="34"/>
  <c r="X41" i="34"/>
  <c r="X39" i="34"/>
  <c r="X40" i="34"/>
  <c r="X42" i="34"/>
  <c r="X45" i="34"/>
  <c r="X46" i="34"/>
  <c r="X47" i="34"/>
  <c r="X44" i="34"/>
  <c r="X43" i="34"/>
  <c r="M39" i="37"/>
  <c r="M46" i="37"/>
  <c r="M45" i="37"/>
  <c r="M41" i="37"/>
  <c r="M40" i="37"/>
  <c r="M42" i="37"/>
  <c r="M48" i="37"/>
  <c r="M44" i="37"/>
  <c r="M47" i="37"/>
  <c r="M43" i="37"/>
  <c r="E41" i="49"/>
  <c r="E42" i="49"/>
  <c r="E47" i="49"/>
  <c r="E45" i="49"/>
  <c r="E46" i="49"/>
  <c r="E44" i="49"/>
  <c r="E48" i="49"/>
  <c r="E43" i="49"/>
  <c r="E40" i="49"/>
  <c r="E39" i="49"/>
  <c r="H47" i="51"/>
  <c r="H45" i="51"/>
  <c r="H42" i="51"/>
  <c r="H39" i="51"/>
  <c r="H40" i="51"/>
  <c r="H41" i="51"/>
  <c r="H48" i="51"/>
  <c r="H43" i="51"/>
  <c r="H46" i="51"/>
  <c r="H44" i="51"/>
  <c r="P40" i="47"/>
  <c r="P43" i="47"/>
  <c r="P42" i="47"/>
  <c r="P41" i="47"/>
  <c r="P44" i="47"/>
  <c r="P45" i="47"/>
  <c r="P48" i="47"/>
  <c r="P46" i="47"/>
  <c r="P39" i="47"/>
  <c r="P47" i="47"/>
  <c r="Q43" i="31"/>
  <c r="Q39" i="31"/>
  <c r="Q44" i="31"/>
  <c r="Q47" i="31"/>
  <c r="Q45" i="31"/>
  <c r="Q46" i="31"/>
  <c r="Q40" i="31"/>
  <c r="Q42" i="31"/>
  <c r="Q48" i="31"/>
  <c r="Q41" i="31"/>
  <c r="X47" i="36"/>
  <c r="X43" i="36"/>
  <c r="X48" i="36"/>
  <c r="X42" i="36"/>
  <c r="X40" i="36"/>
  <c r="X41" i="36"/>
  <c r="X44" i="36"/>
  <c r="X39" i="36"/>
  <c r="X46" i="36"/>
  <c r="X45" i="36"/>
  <c r="AC39" i="34"/>
  <c r="AC47" i="34"/>
  <c r="AC48" i="34"/>
  <c r="AC40" i="34"/>
  <c r="AC41" i="34"/>
  <c r="AC45" i="34"/>
  <c r="AC44" i="34"/>
  <c r="AC43" i="34"/>
  <c r="AC46" i="34"/>
  <c r="AC42" i="34"/>
  <c r="Q39" i="34"/>
  <c r="Q41" i="34"/>
  <c r="Q40" i="34"/>
  <c r="Q46" i="34"/>
  <c r="Q42" i="34"/>
  <c r="Q45" i="34"/>
  <c r="Q47" i="34"/>
  <c r="Q48" i="34"/>
  <c r="Q43" i="34"/>
  <c r="Q44" i="34"/>
  <c r="I45" i="37"/>
  <c r="I47" i="37"/>
  <c r="I48" i="37"/>
  <c r="I39" i="37"/>
  <c r="I43" i="37"/>
  <c r="I44" i="37"/>
  <c r="I41" i="37"/>
  <c r="I46" i="37"/>
  <c r="I40" i="37"/>
  <c r="I42" i="37"/>
  <c r="AB23" i="48"/>
  <c r="T45" i="48"/>
  <c r="T47" i="48"/>
  <c r="T48" i="48"/>
  <c r="T46" i="48"/>
  <c r="T44" i="48"/>
  <c r="T40" i="48"/>
  <c r="T41" i="48"/>
  <c r="T43" i="48"/>
  <c r="T39" i="48"/>
  <c r="T42" i="48"/>
  <c r="AA41" i="49"/>
  <c r="AA47" i="49"/>
  <c r="AA44" i="49"/>
  <c r="AA46" i="49"/>
  <c r="AA42" i="49"/>
  <c r="AA39" i="49"/>
  <c r="AA43" i="49"/>
  <c r="AA40" i="49"/>
  <c r="AA48" i="49"/>
  <c r="AA45" i="49"/>
  <c r="AC43" i="49"/>
  <c r="AC39" i="49"/>
  <c r="AC41" i="49"/>
  <c r="AC47" i="49"/>
  <c r="AC48" i="49"/>
  <c r="AC46" i="49"/>
  <c r="AC44" i="49"/>
  <c r="AC42" i="49"/>
  <c r="AC40" i="49"/>
  <c r="AC45" i="49"/>
  <c r="C45" i="51"/>
  <c r="C47" i="51"/>
  <c r="C44" i="51"/>
  <c r="C40" i="51"/>
  <c r="C41" i="51"/>
  <c r="C42" i="51"/>
  <c r="C43" i="51"/>
  <c r="C48" i="51"/>
  <c r="C46" i="51"/>
  <c r="C39" i="51"/>
  <c r="L39" i="31"/>
  <c r="L41" i="31"/>
  <c r="L48" i="31"/>
  <c r="L42" i="31"/>
  <c r="L45" i="31"/>
  <c r="L40" i="31"/>
  <c r="L46" i="31"/>
  <c r="L44" i="31"/>
  <c r="L43" i="31"/>
  <c r="L47" i="31"/>
  <c r="L39" i="49"/>
  <c r="L41" i="49"/>
  <c r="L45" i="49"/>
  <c r="L44" i="49"/>
  <c r="L43" i="49"/>
  <c r="L40" i="49"/>
  <c r="L42" i="49"/>
  <c r="L46" i="49"/>
  <c r="L47" i="49"/>
  <c r="L48" i="49"/>
  <c r="K45" i="37"/>
  <c r="K39" i="37"/>
  <c r="K46" i="37"/>
  <c r="K48" i="37"/>
  <c r="K41" i="37"/>
  <c r="K47" i="37"/>
  <c r="K42" i="37"/>
  <c r="K44" i="37"/>
  <c r="K40" i="37"/>
  <c r="K43" i="37"/>
  <c r="T47" i="31"/>
  <c r="T45" i="31"/>
  <c r="T44" i="31"/>
  <c r="T42" i="31"/>
  <c r="T40" i="31"/>
  <c r="T43" i="31"/>
  <c r="T46" i="31"/>
  <c r="T39" i="31"/>
  <c r="T48" i="31"/>
  <c r="T41" i="31"/>
  <c r="I45" i="31"/>
  <c r="I39" i="31"/>
  <c r="I47" i="31"/>
  <c r="I44" i="31"/>
  <c r="I48" i="31"/>
  <c r="I42" i="31"/>
  <c r="I43" i="31"/>
  <c r="I46" i="31"/>
  <c r="I41" i="31"/>
  <c r="I40" i="31"/>
  <c r="G42" i="36"/>
  <c r="G43" i="36"/>
  <c r="G47" i="36"/>
  <c r="G40" i="36"/>
  <c r="G45" i="36"/>
  <c r="G41" i="36"/>
  <c r="G44" i="36"/>
  <c r="G48" i="36"/>
  <c r="G39" i="36"/>
  <c r="G46" i="36"/>
  <c r="R47" i="32"/>
  <c r="C133" i="32" s="1"/>
  <c r="D133" i="32" s="1"/>
  <c r="R45" i="32"/>
  <c r="C131" i="32" s="1"/>
  <c r="D131" i="32" s="1"/>
  <c r="R40" i="32"/>
  <c r="C126" i="32" s="1"/>
  <c r="R46" i="32"/>
  <c r="C132" i="32" s="1"/>
  <c r="D132" i="32" s="1"/>
  <c r="R43" i="32"/>
  <c r="C129" i="32" s="1"/>
  <c r="D129" i="32" s="1"/>
  <c r="R42" i="32"/>
  <c r="C128" i="32" s="1"/>
  <c r="D128" i="32" s="1"/>
  <c r="R41" i="32"/>
  <c r="C127" i="32" s="1"/>
  <c r="D127" i="32" s="1"/>
  <c r="R48" i="32"/>
  <c r="C134" i="32" s="1"/>
  <c r="D134" i="32" s="1"/>
  <c r="R44" i="32"/>
  <c r="C130" i="32" s="1"/>
  <c r="D130" i="32" s="1"/>
  <c r="R39" i="32"/>
  <c r="E46" i="37"/>
  <c r="E48" i="37"/>
  <c r="E45" i="37"/>
  <c r="E39" i="37"/>
  <c r="E43" i="37"/>
  <c r="E47" i="37"/>
  <c r="E44" i="37"/>
  <c r="E40" i="37"/>
  <c r="E41" i="37"/>
  <c r="E42" i="37"/>
  <c r="L48" i="34"/>
  <c r="L39" i="34"/>
  <c r="L41" i="34"/>
  <c r="L45" i="34"/>
  <c r="L44" i="34"/>
  <c r="L47" i="34"/>
  <c r="L43" i="34"/>
  <c r="L40" i="34"/>
  <c r="L46" i="34"/>
  <c r="L42" i="34"/>
  <c r="AA41" i="32"/>
  <c r="AA44" i="32"/>
  <c r="AA45" i="32"/>
  <c r="AA40" i="32"/>
  <c r="AA46" i="32"/>
  <c r="AA48" i="32"/>
  <c r="AA47" i="32"/>
  <c r="AA43" i="32"/>
  <c r="AA39" i="32"/>
  <c r="AA42" i="32"/>
  <c r="W47" i="34"/>
  <c r="W45" i="34"/>
  <c r="W41" i="34"/>
  <c r="W39" i="34"/>
  <c r="W48" i="34"/>
  <c r="W42" i="34"/>
  <c r="W43" i="34"/>
  <c r="W44" i="34"/>
  <c r="W46" i="34"/>
  <c r="W40" i="34"/>
  <c r="J48" i="37"/>
  <c r="J45" i="37"/>
  <c r="J39" i="37"/>
  <c r="J46" i="37"/>
  <c r="J44" i="37"/>
  <c r="J41" i="37"/>
  <c r="J47" i="37"/>
  <c r="J42" i="37"/>
  <c r="J43" i="37"/>
  <c r="J40" i="37"/>
  <c r="I23" i="48"/>
  <c r="X45" i="47"/>
  <c r="X41" i="47"/>
  <c r="X42" i="47"/>
  <c r="X40" i="47"/>
  <c r="X43" i="47"/>
  <c r="X47" i="47"/>
  <c r="X39" i="47"/>
  <c r="X46" i="47"/>
  <c r="X44" i="47"/>
  <c r="X48" i="47"/>
  <c r="U45" i="48"/>
  <c r="U47" i="48"/>
  <c r="U48" i="48"/>
  <c r="U46" i="48"/>
  <c r="U42" i="48"/>
  <c r="U40" i="48"/>
  <c r="U41" i="48"/>
  <c r="U44" i="48"/>
  <c r="U39" i="48"/>
  <c r="U43" i="48"/>
  <c r="G43" i="49"/>
  <c r="G42" i="49"/>
  <c r="G48" i="49"/>
  <c r="G39" i="49"/>
  <c r="G41" i="49"/>
  <c r="G47" i="49"/>
  <c r="G46" i="49"/>
  <c r="G44" i="49"/>
  <c r="G45" i="49"/>
  <c r="G40" i="49"/>
  <c r="B47" i="51"/>
  <c r="B45" i="51"/>
  <c r="B39" i="51"/>
  <c r="B44" i="51"/>
  <c r="B40" i="51"/>
  <c r="B41" i="51"/>
  <c r="B42" i="51"/>
  <c r="B43" i="51"/>
  <c r="B48" i="51"/>
  <c r="B46" i="51"/>
  <c r="P43" i="31"/>
  <c r="P41" i="31"/>
  <c r="P46" i="31"/>
  <c r="P39" i="31"/>
  <c r="P47" i="31"/>
  <c r="P44" i="31"/>
  <c r="P42" i="31"/>
  <c r="P45" i="31"/>
  <c r="P40" i="31"/>
  <c r="P48" i="31"/>
  <c r="U47" i="31"/>
  <c r="U45" i="31"/>
  <c r="U42" i="31"/>
  <c r="U39" i="31"/>
  <c r="U43" i="31"/>
  <c r="U40" i="31"/>
  <c r="U44" i="31"/>
  <c r="U41" i="31"/>
  <c r="U46" i="31"/>
  <c r="U48" i="31"/>
  <c r="M43" i="49"/>
  <c r="M39" i="49"/>
  <c r="M41" i="49"/>
  <c r="M45" i="49"/>
  <c r="M40" i="49"/>
  <c r="M46" i="49"/>
  <c r="M48" i="49"/>
  <c r="M42" i="49"/>
  <c r="M44" i="49"/>
  <c r="M47" i="49"/>
  <c r="E42" i="32"/>
  <c r="E44" i="32"/>
  <c r="E43" i="32"/>
  <c r="E46" i="32"/>
  <c r="E41" i="32"/>
  <c r="E39" i="32"/>
  <c r="E48" i="32"/>
  <c r="E45" i="32"/>
  <c r="E47" i="32"/>
  <c r="E40" i="32"/>
  <c r="Y48" i="48"/>
  <c r="Y39" i="48"/>
  <c r="Y46" i="48"/>
  <c r="Y47" i="48"/>
  <c r="Y41" i="48"/>
  <c r="Y42" i="48"/>
  <c r="Y43" i="48"/>
  <c r="Y40" i="48"/>
  <c r="Y45" i="48"/>
  <c r="Y44" i="48"/>
  <c r="B23" i="34"/>
  <c r="P24" i="47"/>
  <c r="L23" i="51"/>
  <c r="C23" i="34"/>
  <c r="M24" i="47"/>
  <c r="K23" i="48"/>
  <c r="E23" i="34"/>
  <c r="R24" i="47"/>
  <c r="G23" i="34"/>
  <c r="U24" i="36"/>
  <c r="AC23" i="48"/>
  <c r="L24" i="36"/>
  <c r="F23" i="34"/>
  <c r="L24" i="48"/>
  <c r="E21" i="34"/>
  <c r="E22" i="34" s="1"/>
  <c r="S24" i="48"/>
  <c r="C23" i="49"/>
  <c r="H23" i="34"/>
  <c r="Z21" i="32"/>
  <c r="W84" i="36"/>
  <c r="L24" i="32"/>
  <c r="J23" i="34"/>
  <c r="B21" i="36"/>
  <c r="B22" i="36" s="1"/>
  <c r="B26" i="36" s="1"/>
  <c r="T23" i="48"/>
  <c r="M88" i="36"/>
  <c r="P21" i="34"/>
  <c r="P22" i="34" s="1"/>
  <c r="P24" i="32"/>
  <c r="R23" i="34"/>
  <c r="P24" i="34"/>
  <c r="V23" i="48"/>
  <c r="V23" i="34"/>
  <c r="Z23" i="34"/>
  <c r="Z23" i="48"/>
  <c r="I88" i="36"/>
  <c r="H23" i="37"/>
  <c r="O23" i="48"/>
  <c r="O23" i="34"/>
  <c r="S23" i="34"/>
  <c r="C23" i="37"/>
  <c r="W23" i="34"/>
  <c r="D23" i="48"/>
  <c r="S23" i="48"/>
  <c r="B23" i="37"/>
  <c r="E23" i="37"/>
  <c r="E25" i="37" s="1"/>
  <c r="E27" i="37" s="1"/>
  <c r="AA23" i="34"/>
  <c r="F23" i="48"/>
  <c r="U23" i="48"/>
  <c r="J23" i="37"/>
  <c r="K23" i="37"/>
  <c r="AC23" i="34"/>
  <c r="H23" i="48"/>
  <c r="W23" i="48"/>
  <c r="M23" i="37"/>
  <c r="I21" i="32"/>
  <c r="I22" i="32" s="1"/>
  <c r="I26" i="32" s="1"/>
  <c r="B91" i="48"/>
  <c r="AA85" i="48" s="1"/>
  <c r="M23" i="32"/>
  <c r="M24" i="34"/>
  <c r="F88" i="48"/>
  <c r="R24" i="34"/>
  <c r="U21" i="34"/>
  <c r="U22" i="34" s="1"/>
  <c r="V24" i="34"/>
  <c r="Q84" i="48"/>
  <c r="K23" i="31"/>
  <c r="O23" i="31"/>
  <c r="S24" i="34"/>
  <c r="C23" i="48"/>
  <c r="P24" i="49"/>
  <c r="R24" i="31"/>
  <c r="S21" i="32"/>
  <c r="S22" i="32" s="1"/>
  <c r="B88" i="36"/>
  <c r="S23" i="31"/>
  <c r="W24" i="34"/>
  <c r="E23" i="48"/>
  <c r="X23" i="32"/>
  <c r="AC23" i="32"/>
  <c r="W23" i="31"/>
  <c r="J24" i="32"/>
  <c r="B23" i="48"/>
  <c r="G23" i="48"/>
  <c r="R24" i="32"/>
  <c r="T23" i="31"/>
  <c r="T24" i="31"/>
  <c r="P23" i="31"/>
  <c r="S24" i="32"/>
  <c r="S24" i="31"/>
  <c r="D21" i="32"/>
  <c r="D22" i="32" s="1"/>
  <c r="D26" i="32" s="1"/>
  <c r="U24" i="32"/>
  <c r="L23" i="48"/>
  <c r="M24" i="31"/>
  <c r="N21" i="32"/>
  <c r="N22" i="32" s="1"/>
  <c r="W24" i="32"/>
  <c r="D88" i="37"/>
  <c r="J21" i="51"/>
  <c r="J22" i="51" s="1"/>
  <c r="K21" i="51"/>
  <c r="K22" i="51" s="1"/>
  <c r="I21" i="51"/>
  <c r="I22" i="51" s="1"/>
  <c r="N21" i="51"/>
  <c r="N22" i="51" s="1"/>
  <c r="B21" i="51"/>
  <c r="B22" i="51" s="1"/>
  <c r="H23" i="51"/>
  <c r="J23" i="51"/>
  <c r="H24" i="52"/>
  <c r="F88" i="36"/>
  <c r="Q88" i="36"/>
  <c r="D84" i="36"/>
  <c r="S88" i="36"/>
  <c r="J88" i="36"/>
  <c r="F84" i="36"/>
  <c r="U88" i="36"/>
  <c r="L88" i="36"/>
  <c r="H23" i="36"/>
  <c r="H84" i="36"/>
  <c r="Y88" i="36"/>
  <c r="N88" i="36"/>
  <c r="S23" i="36"/>
  <c r="L84" i="36"/>
  <c r="AA88" i="36"/>
  <c r="R88" i="36"/>
  <c r="N84" i="36"/>
  <c r="B91" i="36"/>
  <c r="R85" i="36" s="1"/>
  <c r="T88" i="36"/>
  <c r="P84" i="36"/>
  <c r="E84" i="36"/>
  <c r="V88" i="36"/>
  <c r="G84" i="36"/>
  <c r="V84" i="36"/>
  <c r="I84" i="36"/>
  <c r="T84" i="36"/>
  <c r="AB88" i="36"/>
  <c r="X84" i="36"/>
  <c r="M84" i="36"/>
  <c r="AB84" i="36"/>
  <c r="C88" i="36"/>
  <c r="Q84" i="36"/>
  <c r="O84" i="36"/>
  <c r="E88" i="36"/>
  <c r="U84" i="36"/>
  <c r="K88" i="36"/>
  <c r="Y84" i="36"/>
  <c r="D21" i="49"/>
  <c r="K23" i="49"/>
  <c r="P88" i="32"/>
  <c r="C84" i="32"/>
  <c r="S84" i="32"/>
  <c r="M24" i="32"/>
  <c r="T24" i="32"/>
  <c r="Y84" i="48"/>
  <c r="H30" i="48"/>
  <c r="F30" i="48"/>
  <c r="V88" i="48"/>
  <c r="D30" i="48"/>
  <c r="B30" i="48"/>
  <c r="AC30" i="48"/>
  <c r="AA30" i="48"/>
  <c r="Y30" i="48"/>
  <c r="O30" i="48"/>
  <c r="AC21" i="48"/>
  <c r="AC22" i="48" s="1"/>
  <c r="I30" i="48"/>
  <c r="AC84" i="48"/>
  <c r="G30" i="48"/>
  <c r="H84" i="48"/>
  <c r="C30" i="48"/>
  <c r="P84" i="48"/>
  <c r="X84" i="48"/>
  <c r="AA21" i="47"/>
  <c r="AA22" i="47" s="1"/>
  <c r="AA26" i="47" s="1"/>
  <c r="AB21" i="47"/>
  <c r="AB22" i="47" s="1"/>
  <c r="AB26" i="47" s="1"/>
  <c r="G21" i="47"/>
  <c r="G22" i="47" s="1"/>
  <c r="G26" i="47" s="1"/>
  <c r="Q21" i="47"/>
  <c r="Q22" i="47" s="1"/>
  <c r="W21" i="47"/>
  <c r="W22" i="47" s="1"/>
  <c r="H21" i="47"/>
  <c r="H22" i="47" s="1"/>
  <c r="L21" i="47"/>
  <c r="Y21" i="47"/>
  <c r="Y22" i="47" s="1"/>
  <c r="AA30" i="47"/>
  <c r="AC23" i="31"/>
  <c r="F30" i="31"/>
  <c r="H23" i="31"/>
  <c r="X23" i="31"/>
  <c r="AB23" i="36"/>
  <c r="R21" i="36"/>
  <c r="R22" i="36" s="1"/>
  <c r="U24" i="34"/>
  <c r="E21" i="36"/>
  <c r="E22" i="36" s="1"/>
  <c r="L21" i="49"/>
  <c r="L22" i="49" s="1"/>
  <c r="U21" i="36"/>
  <c r="U22" i="36" s="1"/>
  <c r="O88" i="49"/>
  <c r="I21" i="49"/>
  <c r="I22" i="49" s="1"/>
  <c r="P21" i="36"/>
  <c r="P22" i="36" s="1"/>
  <c r="J24" i="34"/>
  <c r="R21" i="49"/>
  <c r="R22" i="49" s="1"/>
  <c r="S24" i="36"/>
  <c r="L24" i="34"/>
  <c r="Z21" i="49"/>
  <c r="Z22" i="49" s="1"/>
  <c r="G21" i="36"/>
  <c r="Q21" i="49"/>
  <c r="I23" i="49"/>
  <c r="AC30" i="31"/>
  <c r="AA30" i="31"/>
  <c r="P24" i="31"/>
  <c r="J24" i="31"/>
  <c r="O30" i="31"/>
  <c r="G30" i="31"/>
  <c r="B30" i="31"/>
  <c r="W24" i="31"/>
  <c r="U24" i="31"/>
  <c r="AB30" i="31"/>
  <c r="N30" i="31"/>
  <c r="N84" i="31"/>
  <c r="I84" i="31"/>
  <c r="B91" i="31"/>
  <c r="K85" i="31" s="1"/>
  <c r="R84" i="31"/>
  <c r="U84" i="31"/>
  <c r="W88" i="31"/>
  <c r="M84" i="31"/>
  <c r="Z84" i="31"/>
  <c r="R88" i="31"/>
  <c r="V84" i="31"/>
  <c r="Q84" i="31"/>
  <c r="AA88" i="31"/>
  <c r="B84" i="31"/>
  <c r="C88" i="31"/>
  <c r="Y84" i="31"/>
  <c r="B88" i="31"/>
  <c r="G88" i="31"/>
  <c r="K88" i="31"/>
  <c r="F88" i="31"/>
  <c r="F84" i="31"/>
  <c r="O88" i="31"/>
  <c r="J88" i="31"/>
  <c r="AC84" i="31"/>
  <c r="S88" i="31"/>
  <c r="N88" i="31"/>
  <c r="J84" i="31"/>
  <c r="E84" i="31"/>
  <c r="Z88" i="31"/>
  <c r="V88" i="31"/>
  <c r="Z88" i="47"/>
  <c r="Y84" i="47"/>
  <c r="B91" i="47"/>
  <c r="E88" i="47"/>
  <c r="H84" i="47"/>
  <c r="D88" i="47"/>
  <c r="X88" i="47"/>
  <c r="W84" i="47"/>
  <c r="AA88" i="47"/>
  <c r="C88" i="47"/>
  <c r="F84" i="47"/>
  <c r="B88" i="47"/>
  <c r="T88" i="47"/>
  <c r="U84" i="47"/>
  <c r="Y88" i="47"/>
  <c r="AB84" i="47"/>
  <c r="D84" i="47"/>
  <c r="R88" i="47"/>
  <c r="S84" i="47"/>
  <c r="W88" i="47"/>
  <c r="Z84" i="47"/>
  <c r="B84" i="47"/>
  <c r="N84" i="47"/>
  <c r="E84" i="47"/>
  <c r="AC84" i="47"/>
  <c r="P88" i="47"/>
  <c r="Q84" i="47"/>
  <c r="U88" i="47"/>
  <c r="X84" i="47"/>
  <c r="AC88" i="47"/>
  <c r="L88" i="47"/>
  <c r="O84" i="47"/>
  <c r="S88" i="47"/>
  <c r="V84" i="47"/>
  <c r="L84" i="47"/>
  <c r="J88" i="47"/>
  <c r="M84" i="47"/>
  <c r="Q88" i="47"/>
  <c r="T84" i="47"/>
  <c r="K88" i="47"/>
  <c r="H88" i="47"/>
  <c r="K84" i="47"/>
  <c r="O88" i="47"/>
  <c r="R84" i="47"/>
  <c r="I88" i="47"/>
  <c r="F88" i="47"/>
  <c r="I84" i="47"/>
  <c r="M88" i="47"/>
  <c r="P84" i="47"/>
  <c r="G84" i="47"/>
  <c r="AB88" i="47"/>
  <c r="AA84" i="47"/>
  <c r="C84" i="47"/>
  <c r="G88" i="47"/>
  <c r="J84" i="47"/>
  <c r="AC21" i="31"/>
  <c r="X21" i="31"/>
  <c r="M21" i="31"/>
  <c r="M22" i="31" s="1"/>
  <c r="K21" i="31"/>
  <c r="H21" i="31"/>
  <c r="H22" i="31" s="1"/>
  <c r="H26" i="31" s="1"/>
  <c r="U21" i="31"/>
  <c r="U22" i="31" s="1"/>
  <c r="O21" i="31"/>
  <c r="N21" i="31"/>
  <c r="N22" i="31" s="1"/>
  <c r="N26" i="31" s="1"/>
  <c r="B21" i="31"/>
  <c r="B22" i="31" s="1"/>
  <c r="B26" i="31" s="1"/>
  <c r="Q21" i="31"/>
  <c r="Q22" i="31" s="1"/>
  <c r="C21" i="52"/>
  <c r="C22" i="52" s="1"/>
  <c r="H21" i="52"/>
  <c r="H22" i="52" s="1"/>
  <c r="E21" i="52"/>
  <c r="E22" i="52" s="1"/>
  <c r="G21" i="52"/>
  <c r="G22" i="52" s="1"/>
  <c r="I21" i="52"/>
  <c r="I22" i="52" s="1"/>
  <c r="M21" i="52"/>
  <c r="M22" i="52" s="1"/>
  <c r="B21" i="52"/>
  <c r="B22" i="52" s="1"/>
  <c r="D21" i="52"/>
  <c r="D22" i="52" s="1"/>
  <c r="J21" i="52"/>
  <c r="J22" i="52" s="1"/>
  <c r="L21" i="52"/>
  <c r="L22" i="52" s="1"/>
  <c r="O88" i="32"/>
  <c r="L24" i="49"/>
  <c r="R24" i="49"/>
  <c r="H88" i="32"/>
  <c r="L23" i="34"/>
  <c r="I23" i="34"/>
  <c r="G24" i="37"/>
  <c r="I21" i="47"/>
  <c r="I22" i="47" s="1"/>
  <c r="T21" i="47"/>
  <c r="T22" i="47" s="1"/>
  <c r="H88" i="37"/>
  <c r="P24" i="48"/>
  <c r="T24" i="49"/>
  <c r="Q23" i="49"/>
  <c r="C23" i="51"/>
  <c r="N23" i="51"/>
  <c r="Y30" i="31"/>
  <c r="X88" i="32"/>
  <c r="N23" i="34"/>
  <c r="K23" i="34"/>
  <c r="I24" i="37"/>
  <c r="AC21" i="47"/>
  <c r="AC22" i="47" s="1"/>
  <c r="L88" i="37"/>
  <c r="R24" i="48"/>
  <c r="V24" i="49"/>
  <c r="B23" i="49"/>
  <c r="S23" i="49"/>
  <c r="E23" i="51"/>
  <c r="P23" i="34"/>
  <c r="M23" i="34"/>
  <c r="B24" i="37"/>
  <c r="V21" i="47"/>
  <c r="V22" i="47" s="1"/>
  <c r="D21" i="47"/>
  <c r="D22" i="47" s="1"/>
  <c r="T24" i="48"/>
  <c r="M24" i="49"/>
  <c r="D23" i="49"/>
  <c r="Y23" i="49"/>
  <c r="Y25" i="49" s="1"/>
  <c r="Y27" i="49" s="1"/>
  <c r="G23" i="51"/>
  <c r="I30" i="31"/>
  <c r="N21" i="47"/>
  <c r="N22" i="47" s="1"/>
  <c r="N26" i="47" s="1"/>
  <c r="D84" i="37"/>
  <c r="V24" i="48"/>
  <c r="S24" i="49"/>
  <c r="F23" i="49"/>
  <c r="AA23" i="49"/>
  <c r="I23" i="51"/>
  <c r="L23" i="31"/>
  <c r="V24" i="31"/>
  <c r="H23" i="32"/>
  <c r="T23" i="34"/>
  <c r="Q23" i="34"/>
  <c r="H21" i="37"/>
  <c r="W21" i="36"/>
  <c r="W22" i="36" s="1"/>
  <c r="S21" i="47"/>
  <c r="S22" i="47" s="1"/>
  <c r="U21" i="47"/>
  <c r="U22" i="47" s="1"/>
  <c r="H84" i="37"/>
  <c r="M24" i="48"/>
  <c r="U24" i="49"/>
  <c r="L23" i="49"/>
  <c r="K23" i="51"/>
  <c r="Z30" i="31"/>
  <c r="C30" i="31"/>
  <c r="K21" i="47"/>
  <c r="K22" i="47" s="1"/>
  <c r="F21" i="47"/>
  <c r="F22" i="47" s="1"/>
  <c r="E21" i="47"/>
  <c r="E22" i="47" s="1"/>
  <c r="W24" i="49"/>
  <c r="N23" i="49"/>
  <c r="M23" i="51"/>
  <c r="X23" i="34"/>
  <c r="U23" i="34"/>
  <c r="C21" i="47"/>
  <c r="C22" i="47" s="1"/>
  <c r="C26" i="47" s="1"/>
  <c r="M21" i="47"/>
  <c r="R21" i="47"/>
  <c r="R22" i="47" s="1"/>
  <c r="U24" i="48"/>
  <c r="T23" i="49"/>
  <c r="B23" i="51"/>
  <c r="H30" i="31"/>
  <c r="J84" i="32"/>
  <c r="X21" i="47"/>
  <c r="Z21" i="47"/>
  <c r="Z22" i="47" s="1"/>
  <c r="B21" i="47"/>
  <c r="B22" i="47" s="1"/>
  <c r="V23" i="49"/>
  <c r="D23" i="51"/>
  <c r="G23" i="31"/>
  <c r="Z84" i="32"/>
  <c r="D23" i="34"/>
  <c r="AB23" i="34"/>
  <c r="P21" i="47"/>
  <c r="P22" i="47" s="1"/>
  <c r="J21" i="47"/>
  <c r="J22" i="47" s="1"/>
  <c r="O21" i="47"/>
  <c r="O22" i="47" s="1"/>
  <c r="O26" i="47" s="1"/>
  <c r="S24" i="47"/>
  <c r="AB23" i="49"/>
  <c r="B24" i="52"/>
  <c r="E22" i="37"/>
  <c r="M88" i="52"/>
  <c r="E88" i="52"/>
  <c r="I84" i="52"/>
  <c r="B91" i="52"/>
  <c r="F88" i="52"/>
  <c r="J84" i="52"/>
  <c r="B84" i="52"/>
  <c r="K88" i="52"/>
  <c r="M84" i="52"/>
  <c r="C84" i="52"/>
  <c r="D88" i="52"/>
  <c r="F84" i="52"/>
  <c r="I88" i="52"/>
  <c r="K84" i="52"/>
  <c r="L88" i="52"/>
  <c r="B88" i="52"/>
  <c r="D84" i="52"/>
  <c r="G88" i="52"/>
  <c r="G84" i="52"/>
  <c r="J88" i="52"/>
  <c r="L84" i="52"/>
  <c r="H88" i="52"/>
  <c r="M88" i="51"/>
  <c r="E88" i="51"/>
  <c r="I84" i="51"/>
  <c r="B91" i="51"/>
  <c r="F88" i="51"/>
  <c r="J84" i="51"/>
  <c r="B84" i="51"/>
  <c r="C88" i="51"/>
  <c r="E84" i="51"/>
  <c r="H88" i="51"/>
  <c r="H84" i="51"/>
  <c r="K88" i="51"/>
  <c r="M84" i="51"/>
  <c r="C84" i="51"/>
  <c r="D88" i="51"/>
  <c r="F84" i="51"/>
  <c r="I88" i="51"/>
  <c r="K84" i="51"/>
  <c r="L88" i="51"/>
  <c r="B88" i="51"/>
  <c r="D84" i="51"/>
  <c r="E23" i="52"/>
  <c r="M23" i="52"/>
  <c r="H23" i="52"/>
  <c r="G23" i="52"/>
  <c r="D23" i="52"/>
  <c r="D25" i="52" s="1"/>
  <c r="D27" i="52" s="1"/>
  <c r="N23" i="52"/>
  <c r="I23" i="52"/>
  <c r="F23" i="52"/>
  <c r="K23" i="52"/>
  <c r="J23" i="52"/>
  <c r="J88" i="51"/>
  <c r="E84" i="52"/>
  <c r="B23" i="52"/>
  <c r="N21" i="37"/>
  <c r="F21" i="37"/>
  <c r="K21" i="37"/>
  <c r="C21" i="37"/>
  <c r="B21" i="37"/>
  <c r="L21" i="37"/>
  <c r="D21" i="37"/>
  <c r="I21" i="37"/>
  <c r="G21" i="37"/>
  <c r="J21" i="37"/>
  <c r="G88" i="51"/>
  <c r="H84" i="52"/>
  <c r="M21" i="37"/>
  <c r="K88" i="37"/>
  <c r="G88" i="37"/>
  <c r="C88" i="37"/>
  <c r="K84" i="37"/>
  <c r="G84" i="37"/>
  <c r="C84" i="37"/>
  <c r="I88" i="37"/>
  <c r="J88" i="37"/>
  <c r="F88" i="37"/>
  <c r="B88" i="37"/>
  <c r="J84" i="37"/>
  <c r="F84" i="37"/>
  <c r="B84" i="37"/>
  <c r="M84" i="37"/>
  <c r="E84" i="37"/>
  <c r="B91" i="37"/>
  <c r="M88" i="37"/>
  <c r="E88" i="37"/>
  <c r="I84" i="37"/>
  <c r="G84" i="51"/>
  <c r="C88" i="52"/>
  <c r="C23" i="52"/>
  <c r="C24" i="51"/>
  <c r="G24" i="51"/>
  <c r="H24" i="51"/>
  <c r="B24" i="51"/>
  <c r="G21" i="51"/>
  <c r="L21" i="51"/>
  <c r="D21" i="51"/>
  <c r="D23" i="37"/>
  <c r="L23" i="37"/>
  <c r="G23" i="37"/>
  <c r="I24" i="52"/>
  <c r="F21" i="51"/>
  <c r="C21" i="51"/>
  <c r="M21" i="51"/>
  <c r="F23" i="37"/>
  <c r="N23" i="37"/>
  <c r="C24" i="52"/>
  <c r="H21" i="51"/>
  <c r="E21" i="51"/>
  <c r="N21" i="52"/>
  <c r="F21" i="52"/>
  <c r="K21" i="52"/>
  <c r="O22" i="36"/>
  <c r="Z23" i="36"/>
  <c r="Y23" i="36"/>
  <c r="Q23" i="36"/>
  <c r="I23" i="36"/>
  <c r="V23" i="36"/>
  <c r="N23" i="36"/>
  <c r="F23" i="36"/>
  <c r="X23" i="36"/>
  <c r="W23" i="36"/>
  <c r="O23" i="36"/>
  <c r="O25" i="36" s="1"/>
  <c r="G23" i="36"/>
  <c r="G25" i="36" s="1"/>
  <c r="T23" i="36"/>
  <c r="L23" i="36"/>
  <c r="D23" i="36"/>
  <c r="J23" i="36"/>
  <c r="E23" i="36"/>
  <c r="U23" i="36"/>
  <c r="H21" i="36"/>
  <c r="X21" i="36"/>
  <c r="M21" i="36"/>
  <c r="AC21" i="36"/>
  <c r="AC84" i="36"/>
  <c r="Z88" i="36"/>
  <c r="AC88" i="36"/>
  <c r="X88" i="36"/>
  <c r="P88" i="36"/>
  <c r="H88" i="36"/>
  <c r="AA84" i="36"/>
  <c r="S84" i="36"/>
  <c r="K84" i="36"/>
  <c r="C84" i="36"/>
  <c r="W88" i="36"/>
  <c r="O88" i="36"/>
  <c r="G88" i="36"/>
  <c r="Z84" i="36"/>
  <c r="R84" i="36"/>
  <c r="J84" i="36"/>
  <c r="B84" i="36"/>
  <c r="T24" i="36"/>
  <c r="J24" i="36"/>
  <c r="M24" i="36"/>
  <c r="R24" i="36"/>
  <c r="W24" i="36"/>
  <c r="AA85" i="36"/>
  <c r="L85" i="36"/>
  <c r="G22" i="36"/>
  <c r="P23" i="36"/>
  <c r="P25" i="36" s="1"/>
  <c r="P27" i="36" s="1"/>
  <c r="K23" i="36"/>
  <c r="AA23" i="36"/>
  <c r="J21" i="36"/>
  <c r="Z21" i="36"/>
  <c r="D85" i="36"/>
  <c r="N85" i="36"/>
  <c r="B23" i="36"/>
  <c r="R23" i="36"/>
  <c r="M23" i="36"/>
  <c r="AC23" i="36"/>
  <c r="AA21" i="36"/>
  <c r="S21" i="36"/>
  <c r="K21" i="36"/>
  <c r="C21" i="36"/>
  <c r="V21" i="36"/>
  <c r="N21" i="36"/>
  <c r="F21" i="36"/>
  <c r="Y21" i="36"/>
  <c r="Q21" i="36"/>
  <c r="I21" i="36"/>
  <c r="AB21" i="36"/>
  <c r="T21" i="36"/>
  <c r="L21" i="36"/>
  <c r="D21" i="36"/>
  <c r="Y22" i="32"/>
  <c r="Z22" i="32"/>
  <c r="F21" i="32"/>
  <c r="AB21" i="32"/>
  <c r="W21" i="32"/>
  <c r="P84" i="32"/>
  <c r="E88" i="32"/>
  <c r="N88" i="32"/>
  <c r="Y23" i="32"/>
  <c r="Y25" i="32" s="1"/>
  <c r="Q23" i="32"/>
  <c r="I23" i="32"/>
  <c r="AB23" i="32"/>
  <c r="T23" i="32"/>
  <c r="L23" i="32"/>
  <c r="D23" i="32"/>
  <c r="W23" i="32"/>
  <c r="O23" i="32"/>
  <c r="G23" i="32"/>
  <c r="Z23" i="32"/>
  <c r="R23" i="32"/>
  <c r="J23" i="32"/>
  <c r="B23" i="32"/>
  <c r="AB30" i="32"/>
  <c r="C30" i="32"/>
  <c r="Y30" i="32"/>
  <c r="D30" i="32"/>
  <c r="Z30" i="32"/>
  <c r="G30" i="32"/>
  <c r="AA30" i="32"/>
  <c r="F30" i="32"/>
  <c r="R21" i="32"/>
  <c r="K21" i="32"/>
  <c r="U88" i="32"/>
  <c r="Y84" i="32"/>
  <c r="N23" i="32"/>
  <c r="N25" i="32" s="1"/>
  <c r="C23" i="32"/>
  <c r="N26" i="32"/>
  <c r="J21" i="32"/>
  <c r="T21" i="32"/>
  <c r="C21" i="32"/>
  <c r="O21" i="32"/>
  <c r="B84" i="32"/>
  <c r="R84" i="32"/>
  <c r="G88" i="32"/>
  <c r="W88" i="32"/>
  <c r="K84" i="32"/>
  <c r="AA84" i="32"/>
  <c r="P23" i="32"/>
  <c r="E23" i="32"/>
  <c r="U23" i="32"/>
  <c r="N30" i="32"/>
  <c r="O30" i="32"/>
  <c r="AC21" i="32"/>
  <c r="U21" i="32"/>
  <c r="M21" i="32"/>
  <c r="E21" i="32"/>
  <c r="X21" i="32"/>
  <c r="P21" i="32"/>
  <c r="H21" i="32"/>
  <c r="AC84" i="32"/>
  <c r="AB88" i="32"/>
  <c r="T88" i="32"/>
  <c r="L88" i="32"/>
  <c r="D88" i="32"/>
  <c r="W84" i="32"/>
  <c r="O84" i="32"/>
  <c r="G84" i="32"/>
  <c r="AA88" i="32"/>
  <c r="S88" i="32"/>
  <c r="K88" i="32"/>
  <c r="C88" i="32"/>
  <c r="V84" i="32"/>
  <c r="N84" i="32"/>
  <c r="F84" i="32"/>
  <c r="AC88" i="32"/>
  <c r="Z88" i="32"/>
  <c r="R88" i="32"/>
  <c r="J88" i="32"/>
  <c r="B88" i="32"/>
  <c r="U84" i="32"/>
  <c r="M84" i="32"/>
  <c r="E84" i="32"/>
  <c r="Y88" i="32"/>
  <c r="Q88" i="32"/>
  <c r="I88" i="32"/>
  <c r="AB84" i="32"/>
  <c r="T84" i="32"/>
  <c r="L84" i="32"/>
  <c r="D84" i="32"/>
  <c r="I84" i="32"/>
  <c r="B21" i="32"/>
  <c r="L21" i="32"/>
  <c r="V21" i="32"/>
  <c r="G21" i="32"/>
  <c r="Q21" i="32"/>
  <c r="AA21" i="32"/>
  <c r="H84" i="32"/>
  <c r="X84" i="32"/>
  <c r="M88" i="32"/>
  <c r="B91" i="32"/>
  <c r="Q84" i="32"/>
  <c r="F88" i="32"/>
  <c r="V88" i="32"/>
  <c r="F23" i="32"/>
  <c r="V23" i="32"/>
  <c r="K23" i="32"/>
  <c r="AA23" i="32"/>
  <c r="H30" i="32"/>
  <c r="I30" i="32"/>
  <c r="AC25" i="34"/>
  <c r="AC22" i="34"/>
  <c r="AB88" i="34"/>
  <c r="T88" i="34"/>
  <c r="L88" i="34"/>
  <c r="D88" i="34"/>
  <c r="W84" i="34"/>
  <c r="O84" i="34"/>
  <c r="G84" i="34"/>
  <c r="AA88" i="34"/>
  <c r="S88" i="34"/>
  <c r="K88" i="34"/>
  <c r="C88" i="34"/>
  <c r="V84" i="34"/>
  <c r="N84" i="34"/>
  <c r="F84" i="34"/>
  <c r="AC84" i="34"/>
  <c r="Z88" i="34"/>
  <c r="R88" i="34"/>
  <c r="J88" i="34"/>
  <c r="B88" i="34"/>
  <c r="U84" i="34"/>
  <c r="M84" i="34"/>
  <c r="E84" i="34"/>
  <c r="Y88" i="34"/>
  <c r="Q88" i="34"/>
  <c r="I88" i="34"/>
  <c r="AB84" i="34"/>
  <c r="T84" i="34"/>
  <c r="L84" i="34"/>
  <c r="D84" i="34"/>
  <c r="V88" i="34"/>
  <c r="F88" i="34"/>
  <c r="Q84" i="34"/>
  <c r="B91" i="34"/>
  <c r="M88" i="34"/>
  <c r="X84" i="34"/>
  <c r="H84" i="34"/>
  <c r="N88" i="34"/>
  <c r="E88" i="34"/>
  <c r="P84" i="34"/>
  <c r="H88" i="34"/>
  <c r="O88" i="34"/>
  <c r="AC88" i="34"/>
  <c r="P88" i="34"/>
  <c r="AA84" i="34"/>
  <c r="K84" i="34"/>
  <c r="W88" i="34"/>
  <c r="G88" i="34"/>
  <c r="R84" i="34"/>
  <c r="B84" i="34"/>
  <c r="Y84" i="34"/>
  <c r="I84" i="34"/>
  <c r="U88" i="34"/>
  <c r="X88" i="34"/>
  <c r="Z84" i="34"/>
  <c r="S84" i="34"/>
  <c r="C84" i="34"/>
  <c r="J84" i="34"/>
  <c r="AB30" i="49"/>
  <c r="I30" i="49"/>
  <c r="AC30" i="49"/>
  <c r="H30" i="49"/>
  <c r="O30" i="49"/>
  <c r="B30" i="49"/>
  <c r="N30" i="49"/>
  <c r="C30" i="49"/>
  <c r="Y30" i="49"/>
  <c r="D30" i="49"/>
  <c r="Z30" i="49"/>
  <c r="G30" i="49"/>
  <c r="V88" i="49"/>
  <c r="N88" i="49"/>
  <c r="F88" i="49"/>
  <c r="Y84" i="49"/>
  <c r="Q84" i="49"/>
  <c r="I84" i="49"/>
  <c r="B91" i="49"/>
  <c r="U88" i="49"/>
  <c r="M88" i="49"/>
  <c r="E88" i="49"/>
  <c r="X84" i="49"/>
  <c r="P84" i="49"/>
  <c r="H84" i="49"/>
  <c r="AB88" i="49"/>
  <c r="T88" i="49"/>
  <c r="L88" i="49"/>
  <c r="D88" i="49"/>
  <c r="W84" i="49"/>
  <c r="O84" i="49"/>
  <c r="G84" i="49"/>
  <c r="AA88" i="49"/>
  <c r="S88" i="49"/>
  <c r="K88" i="49"/>
  <c r="C88" i="49"/>
  <c r="V84" i="49"/>
  <c r="N84" i="49"/>
  <c r="F84" i="49"/>
  <c r="AC88" i="49"/>
  <c r="Z88" i="49"/>
  <c r="R88" i="49"/>
  <c r="J88" i="49"/>
  <c r="B88" i="49"/>
  <c r="U84" i="49"/>
  <c r="M84" i="49"/>
  <c r="E84" i="49"/>
  <c r="Y88" i="49"/>
  <c r="Q88" i="49"/>
  <c r="I88" i="49"/>
  <c r="AB84" i="49"/>
  <c r="T84" i="49"/>
  <c r="L84" i="49"/>
  <c r="D84" i="49"/>
  <c r="AC84" i="49"/>
  <c r="H88" i="49"/>
  <c r="C84" i="49"/>
  <c r="Z84" i="49"/>
  <c r="AA84" i="49"/>
  <c r="W88" i="49"/>
  <c r="R84" i="49"/>
  <c r="F30" i="49"/>
  <c r="V21" i="34"/>
  <c r="AA21" i="34"/>
  <c r="K84" i="49"/>
  <c r="D22" i="49"/>
  <c r="H21" i="34"/>
  <c r="X21" i="34"/>
  <c r="M21" i="34"/>
  <c r="J84" i="49"/>
  <c r="S84" i="49"/>
  <c r="Q22" i="49"/>
  <c r="AA30" i="49"/>
  <c r="Y21" i="34"/>
  <c r="Q21" i="34"/>
  <c r="I21" i="34"/>
  <c r="AB21" i="34"/>
  <c r="T21" i="34"/>
  <c r="L21" i="34"/>
  <c r="D21" i="34"/>
  <c r="W21" i="34"/>
  <c r="O21" i="34"/>
  <c r="G21" i="34"/>
  <c r="Z21" i="34"/>
  <c r="R21" i="34"/>
  <c r="J21" i="34"/>
  <c r="B21" i="34"/>
  <c r="F21" i="34"/>
  <c r="K21" i="34"/>
  <c r="B84" i="49"/>
  <c r="N21" i="34"/>
  <c r="C21" i="34"/>
  <c r="S21" i="34"/>
  <c r="G88" i="49"/>
  <c r="P88" i="49"/>
  <c r="W21" i="49"/>
  <c r="O21" i="49"/>
  <c r="X21" i="49"/>
  <c r="P21" i="49"/>
  <c r="G21" i="49"/>
  <c r="J21" i="49"/>
  <c r="B21" i="49"/>
  <c r="AC21" i="49"/>
  <c r="U21" i="49"/>
  <c r="M21" i="49"/>
  <c r="V21" i="49"/>
  <c r="N21" i="49"/>
  <c r="E21" i="49"/>
  <c r="H21" i="49"/>
  <c r="AA21" i="49"/>
  <c r="S21" i="49"/>
  <c r="AB21" i="49"/>
  <c r="T21" i="49"/>
  <c r="K21" i="49"/>
  <c r="C21" i="49"/>
  <c r="F21" i="49"/>
  <c r="H23" i="49"/>
  <c r="P23" i="49"/>
  <c r="X23" i="49"/>
  <c r="E23" i="49"/>
  <c r="M23" i="49"/>
  <c r="U23" i="49"/>
  <c r="AC23" i="49"/>
  <c r="J23" i="49"/>
  <c r="R23" i="49"/>
  <c r="Z23" i="49"/>
  <c r="G23" i="49"/>
  <c r="O23" i="49"/>
  <c r="T85" i="48"/>
  <c r="AB23" i="47"/>
  <c r="T23" i="47"/>
  <c r="L23" i="47"/>
  <c r="D23" i="47"/>
  <c r="Y23" i="47"/>
  <c r="Y25" i="47" s="1"/>
  <c r="Q23" i="47"/>
  <c r="I23" i="47"/>
  <c r="Z23" i="47"/>
  <c r="R23" i="47"/>
  <c r="J23" i="47"/>
  <c r="B23" i="47"/>
  <c r="W23" i="47"/>
  <c r="O23" i="47"/>
  <c r="G23" i="47"/>
  <c r="N23" i="47"/>
  <c r="AA23" i="47"/>
  <c r="AA25" i="47" s="1"/>
  <c r="AA27" i="47" s="1"/>
  <c r="K23" i="47"/>
  <c r="V23" i="47"/>
  <c r="F23" i="47"/>
  <c r="S23" i="47"/>
  <c r="C23" i="47"/>
  <c r="AC23" i="47"/>
  <c r="P23" i="47"/>
  <c r="M23" i="47"/>
  <c r="G21" i="31"/>
  <c r="E21" i="31"/>
  <c r="Z21" i="31"/>
  <c r="J21" i="31"/>
  <c r="Y26" i="47"/>
  <c r="H84" i="31"/>
  <c r="P84" i="31"/>
  <c r="X84" i="31"/>
  <c r="E88" i="31"/>
  <c r="M88" i="31"/>
  <c r="U88" i="31"/>
  <c r="C84" i="31"/>
  <c r="K84" i="31"/>
  <c r="S84" i="31"/>
  <c r="AA84" i="31"/>
  <c r="H88" i="31"/>
  <c r="P88" i="31"/>
  <c r="X88" i="31"/>
  <c r="AC88" i="31"/>
  <c r="D84" i="31"/>
  <c r="L84" i="31"/>
  <c r="T84" i="31"/>
  <c r="AB84" i="31"/>
  <c r="I88" i="31"/>
  <c r="Q88" i="31"/>
  <c r="Y88" i="31"/>
  <c r="G84" i="31"/>
  <c r="O84" i="31"/>
  <c r="W84" i="31"/>
  <c r="D88" i="31"/>
  <c r="L88" i="31"/>
  <c r="T88" i="31"/>
  <c r="AB88" i="31"/>
  <c r="B23" i="31"/>
  <c r="Z23" i="31"/>
  <c r="R23" i="31"/>
  <c r="J23" i="31"/>
  <c r="E23" i="31"/>
  <c r="U23" i="31"/>
  <c r="M23" i="31"/>
  <c r="C23" i="31"/>
  <c r="V23" i="31"/>
  <c r="N23" i="31"/>
  <c r="F23" i="31"/>
  <c r="Y23" i="31"/>
  <c r="Q23" i="31"/>
  <c r="I23" i="31"/>
  <c r="L22" i="47"/>
  <c r="U23" i="47"/>
  <c r="C21" i="31"/>
  <c r="J22" i="48"/>
  <c r="P21" i="31"/>
  <c r="Y21" i="31"/>
  <c r="I21" i="31"/>
  <c r="V21" i="31"/>
  <c r="F21" i="31"/>
  <c r="AB21" i="31"/>
  <c r="T21" i="31"/>
  <c r="S21" i="31"/>
  <c r="H23" i="47"/>
  <c r="H25" i="47" s="1"/>
  <c r="AA21" i="48"/>
  <c r="S21" i="48"/>
  <c r="K21" i="48"/>
  <c r="C21" i="48"/>
  <c r="V21" i="48"/>
  <c r="N21" i="48"/>
  <c r="F21" i="48"/>
  <c r="Y21" i="48"/>
  <c r="Q21" i="48"/>
  <c r="I21" i="48"/>
  <c r="AB21" i="48"/>
  <c r="T21" i="48"/>
  <c r="L21" i="48"/>
  <c r="D21" i="48"/>
  <c r="W21" i="48"/>
  <c r="O21" i="48"/>
  <c r="G21" i="48"/>
  <c r="E21" i="48"/>
  <c r="P21" i="48"/>
  <c r="U21" i="48"/>
  <c r="X21" i="48"/>
  <c r="H21" i="48"/>
  <c r="M21" i="48"/>
  <c r="B21" i="48"/>
  <c r="R21" i="48"/>
  <c r="W21" i="31"/>
  <c r="L21" i="31"/>
  <c r="D21" i="31"/>
  <c r="R21" i="31"/>
  <c r="AA21" i="31"/>
  <c r="H26" i="47"/>
  <c r="X22" i="47"/>
  <c r="X23" i="47"/>
  <c r="Z21" i="48"/>
  <c r="Z88" i="48"/>
  <c r="R88" i="48"/>
  <c r="J88" i="48"/>
  <c r="B88" i="48"/>
  <c r="U84" i="48"/>
  <c r="M84" i="48"/>
  <c r="E84" i="48"/>
  <c r="Y88" i="48"/>
  <c r="Q88" i="48"/>
  <c r="I88" i="48"/>
  <c r="AB84" i="48"/>
  <c r="T84" i="48"/>
  <c r="L84" i="48"/>
  <c r="D84" i="48"/>
  <c r="X88" i="48"/>
  <c r="P88" i="48"/>
  <c r="H88" i="48"/>
  <c r="AA84" i="48"/>
  <c r="S84" i="48"/>
  <c r="K84" i="48"/>
  <c r="C84" i="48"/>
  <c r="W88" i="48"/>
  <c r="O88" i="48"/>
  <c r="G88" i="48"/>
  <c r="Z84" i="48"/>
  <c r="R84" i="48"/>
  <c r="J84" i="48"/>
  <c r="B84" i="48"/>
  <c r="T88" i="48"/>
  <c r="D88" i="48"/>
  <c r="O84" i="48"/>
  <c r="AA88" i="48"/>
  <c r="K88" i="48"/>
  <c r="V84" i="48"/>
  <c r="F84" i="48"/>
  <c r="AC88" i="48"/>
  <c r="AB88" i="48"/>
  <c r="L88" i="48"/>
  <c r="W84" i="48"/>
  <c r="G84" i="48"/>
  <c r="S88" i="48"/>
  <c r="C88" i="48"/>
  <c r="N84" i="48"/>
  <c r="AB30" i="47"/>
  <c r="I30" i="47"/>
  <c r="C30" i="47"/>
  <c r="D30" i="47"/>
  <c r="Y30" i="47"/>
  <c r="F30" i="47"/>
  <c r="G30" i="47"/>
  <c r="H30" i="47"/>
  <c r="Z30" i="47"/>
  <c r="O30" i="47"/>
  <c r="N30" i="47"/>
  <c r="AC30" i="47"/>
  <c r="E88" i="48"/>
  <c r="I84" i="48"/>
  <c r="N88" i="48"/>
  <c r="V88" i="47"/>
  <c r="N88" i="47"/>
  <c r="J24" i="47"/>
  <c r="T24" i="47"/>
  <c r="U24" i="47"/>
  <c r="L24" i="47"/>
  <c r="V24" i="47"/>
  <c r="E25" i="36" l="1"/>
  <c r="E27" i="36" s="1"/>
  <c r="AC25" i="48"/>
  <c r="J25" i="48"/>
  <c r="J27" i="48" s="1"/>
  <c r="G25" i="47"/>
  <c r="G27" i="47" s="1"/>
  <c r="Z25" i="32"/>
  <c r="D25" i="49"/>
  <c r="M85" i="48"/>
  <c r="P25" i="34"/>
  <c r="P27" i="34" s="1"/>
  <c r="N25" i="31"/>
  <c r="O85" i="48"/>
  <c r="X87" i="48"/>
  <c r="X18" i="48" s="1"/>
  <c r="C87" i="36"/>
  <c r="C18" i="36" s="1"/>
  <c r="Z85" i="36"/>
  <c r="E125" i="49"/>
  <c r="C125" i="47"/>
  <c r="D125" i="47" s="1"/>
  <c r="W25" i="47"/>
  <c r="W27" i="47" s="1"/>
  <c r="AB87" i="48"/>
  <c r="AB18" i="48" s="1"/>
  <c r="I25" i="32"/>
  <c r="I27" i="32" s="1"/>
  <c r="D85" i="48"/>
  <c r="E85" i="48"/>
  <c r="X85" i="36"/>
  <c r="V85" i="36"/>
  <c r="U25" i="36"/>
  <c r="U27" i="36" s="1"/>
  <c r="AC87" i="36"/>
  <c r="AC18" i="36" s="1"/>
  <c r="E125" i="34"/>
  <c r="H85" i="48"/>
  <c r="S85" i="48"/>
  <c r="P85" i="48"/>
  <c r="Z25" i="47"/>
  <c r="B85" i="48"/>
  <c r="S85" i="36"/>
  <c r="U85" i="48"/>
  <c r="C85" i="48"/>
  <c r="Q85" i="48"/>
  <c r="U85" i="36"/>
  <c r="Z87" i="36"/>
  <c r="Z18" i="36" s="1"/>
  <c r="Y85" i="48"/>
  <c r="J85" i="48"/>
  <c r="M85" i="36"/>
  <c r="K85" i="36"/>
  <c r="B87" i="36"/>
  <c r="B18" i="36" s="1"/>
  <c r="B25" i="51"/>
  <c r="B27" i="51" s="1"/>
  <c r="Q25" i="49"/>
  <c r="Q27" i="49" s="1"/>
  <c r="C125" i="48"/>
  <c r="D125" i="48" s="1"/>
  <c r="E125" i="31"/>
  <c r="F85" i="48"/>
  <c r="E85" i="36"/>
  <c r="C85" i="36"/>
  <c r="D87" i="36"/>
  <c r="D18" i="36" s="1"/>
  <c r="P85" i="36"/>
  <c r="C125" i="32"/>
  <c r="D125" i="32" s="1"/>
  <c r="C125" i="31"/>
  <c r="D125" i="31" s="1"/>
  <c r="R85" i="48"/>
  <c r="Z85" i="48"/>
  <c r="G87" i="36"/>
  <c r="G18" i="36" s="1"/>
  <c r="C125" i="36"/>
  <c r="D125" i="36" s="1"/>
  <c r="E125" i="48"/>
  <c r="Q25" i="47"/>
  <c r="Q27" i="47" s="1"/>
  <c r="N85" i="48"/>
  <c r="V85" i="48"/>
  <c r="AC87" i="48"/>
  <c r="AC18" i="48" s="1"/>
  <c r="C125" i="49"/>
  <c r="D125" i="49" s="1"/>
  <c r="I85" i="48"/>
  <c r="AC85" i="48"/>
  <c r="AC85" i="36"/>
  <c r="I87" i="36"/>
  <c r="I18" i="36" s="1"/>
  <c r="E87" i="48"/>
  <c r="E18" i="48" s="1"/>
  <c r="Y87" i="48"/>
  <c r="Y18" i="48" s="1"/>
  <c r="B87" i="48"/>
  <c r="B18" i="48" s="1"/>
  <c r="T85" i="36"/>
  <c r="I28" i="47"/>
  <c r="G85" i="48"/>
  <c r="G87" i="48"/>
  <c r="G18" i="48" s="1"/>
  <c r="D25" i="32"/>
  <c r="D27" i="32" s="1"/>
  <c r="F87" i="36"/>
  <c r="F18" i="36" s="1"/>
  <c r="Y85" i="36"/>
  <c r="O85" i="36"/>
  <c r="J87" i="48"/>
  <c r="J18" i="48" s="1"/>
  <c r="K87" i="48"/>
  <c r="K18" i="48" s="1"/>
  <c r="W85" i="48"/>
  <c r="AA87" i="48"/>
  <c r="AA18" i="48" s="1"/>
  <c r="I87" i="48"/>
  <c r="I18" i="48" s="1"/>
  <c r="B25" i="36"/>
  <c r="B27" i="36" s="1"/>
  <c r="AB87" i="36"/>
  <c r="AB18" i="36" s="1"/>
  <c r="Q85" i="36"/>
  <c r="B85" i="36"/>
  <c r="G85" i="36"/>
  <c r="F87" i="48"/>
  <c r="F18" i="48" s="1"/>
  <c r="K87" i="36"/>
  <c r="K18" i="36" s="1"/>
  <c r="I85" i="36"/>
  <c r="J85" i="36"/>
  <c r="E125" i="36"/>
  <c r="E125" i="32"/>
  <c r="X85" i="48"/>
  <c r="C87" i="48"/>
  <c r="C18" i="48" s="1"/>
  <c r="H85" i="36"/>
  <c r="L85" i="48"/>
  <c r="Z87" i="48"/>
  <c r="Z18" i="48" s="1"/>
  <c r="E87" i="36"/>
  <c r="E18" i="36" s="1"/>
  <c r="K85" i="48"/>
  <c r="AB85" i="48"/>
  <c r="D87" i="48"/>
  <c r="D18" i="48" s="1"/>
  <c r="H87" i="48"/>
  <c r="H18" i="48" s="1"/>
  <c r="H87" i="36"/>
  <c r="H18" i="36" s="1"/>
  <c r="Y87" i="36"/>
  <c r="Y18" i="36" s="1"/>
  <c r="E125" i="47"/>
  <c r="C125" i="34"/>
  <c r="D125" i="34" s="1"/>
  <c r="Z25" i="49"/>
  <c r="N25" i="51"/>
  <c r="N27" i="51" s="1"/>
  <c r="H25" i="52"/>
  <c r="H27" i="52" s="1"/>
  <c r="J25" i="51"/>
  <c r="J27" i="51" s="1"/>
  <c r="E25" i="34"/>
  <c r="E27" i="34" s="1"/>
  <c r="B25" i="31"/>
  <c r="B27" i="31" s="1"/>
  <c r="I25" i="51"/>
  <c r="I27" i="51" s="1"/>
  <c r="K25" i="31"/>
  <c r="K27" i="31" s="1"/>
  <c r="K25" i="51"/>
  <c r="K27" i="51" s="1"/>
  <c r="J25" i="52"/>
  <c r="J27" i="52" s="1"/>
  <c r="I25" i="49"/>
  <c r="AB25" i="47"/>
  <c r="AB27" i="47" s="1"/>
  <c r="S25" i="32"/>
  <c r="S27" i="32" s="1"/>
  <c r="U25" i="34"/>
  <c r="U27" i="34" s="1"/>
  <c r="L25" i="52"/>
  <c r="L27" i="52" s="1"/>
  <c r="I25" i="52"/>
  <c r="I27" i="52" s="1"/>
  <c r="C28" i="52"/>
  <c r="X87" i="36"/>
  <c r="X18" i="36" s="1"/>
  <c r="W85" i="36"/>
  <c r="J87" i="36"/>
  <c r="J18" i="36" s="1"/>
  <c r="AA87" i="36"/>
  <c r="AA18" i="36" s="1"/>
  <c r="F85" i="36"/>
  <c r="AB85" i="36"/>
  <c r="N27" i="32"/>
  <c r="R25" i="47"/>
  <c r="R27" i="47" s="1"/>
  <c r="E25" i="47"/>
  <c r="E27" i="47" s="1"/>
  <c r="B25" i="47"/>
  <c r="G85" i="31"/>
  <c r="O85" i="31"/>
  <c r="AB85" i="31"/>
  <c r="K22" i="31"/>
  <c r="C85" i="31"/>
  <c r="H25" i="31"/>
  <c r="H27" i="31" s="1"/>
  <c r="D85" i="31"/>
  <c r="AA85" i="31"/>
  <c r="M25" i="31"/>
  <c r="M27" i="31" s="1"/>
  <c r="L85" i="31"/>
  <c r="U25" i="31"/>
  <c r="U27" i="31" s="1"/>
  <c r="S85" i="31"/>
  <c r="P85" i="31"/>
  <c r="L25" i="49"/>
  <c r="L27" i="49" s="1"/>
  <c r="R25" i="49"/>
  <c r="R27" i="49" s="1"/>
  <c r="L28" i="47"/>
  <c r="M25" i="47"/>
  <c r="M27" i="47" s="1"/>
  <c r="P25" i="47"/>
  <c r="P27" i="47" s="1"/>
  <c r="I26" i="47"/>
  <c r="U28" i="47"/>
  <c r="S25" i="47"/>
  <c r="S27" i="47" s="1"/>
  <c r="F25" i="47"/>
  <c r="I25" i="47"/>
  <c r="J25" i="47"/>
  <c r="J27" i="47" s="1"/>
  <c r="C25" i="47"/>
  <c r="C27" i="47" s="1"/>
  <c r="X28" i="47"/>
  <c r="K25" i="47"/>
  <c r="K27" i="47" s="1"/>
  <c r="Y27" i="47"/>
  <c r="J85" i="47"/>
  <c r="M85" i="47"/>
  <c r="X87" i="47"/>
  <c r="X18" i="47" s="1"/>
  <c r="H85" i="47"/>
  <c r="K85" i="47"/>
  <c r="K87" i="47"/>
  <c r="K18" i="47" s="1"/>
  <c r="N85" i="47"/>
  <c r="F87" i="47"/>
  <c r="F18" i="47" s="1"/>
  <c r="C87" i="47"/>
  <c r="C18" i="47" s="1"/>
  <c r="H87" i="47"/>
  <c r="H18" i="47" s="1"/>
  <c r="AB85" i="47"/>
  <c r="G85" i="47"/>
  <c r="F85" i="47"/>
  <c r="I85" i="47"/>
  <c r="Z87" i="47"/>
  <c r="Z18" i="47" s="1"/>
  <c r="B87" i="47"/>
  <c r="B18" i="47" s="1"/>
  <c r="D85" i="47"/>
  <c r="Z85" i="47"/>
  <c r="B85" i="47"/>
  <c r="E85" i="47"/>
  <c r="X85" i="47"/>
  <c r="AA85" i="47"/>
  <c r="C85" i="47"/>
  <c r="Y87" i="47"/>
  <c r="Y18" i="47" s="1"/>
  <c r="D87" i="47"/>
  <c r="D18" i="47" s="1"/>
  <c r="V85" i="47"/>
  <c r="Y85" i="47"/>
  <c r="I87" i="47"/>
  <c r="I18" i="47" s="1"/>
  <c r="AA87" i="47"/>
  <c r="AA18" i="47" s="1"/>
  <c r="T85" i="47"/>
  <c r="W85" i="47"/>
  <c r="Q85" i="47"/>
  <c r="R85" i="47"/>
  <c r="U85" i="47"/>
  <c r="P85" i="47"/>
  <c r="E87" i="47"/>
  <c r="E18" i="47" s="1"/>
  <c r="S85" i="47"/>
  <c r="J87" i="47"/>
  <c r="J18" i="47" s="1"/>
  <c r="AB87" i="47"/>
  <c r="AB18" i="47" s="1"/>
  <c r="G87" i="47"/>
  <c r="G18" i="47" s="1"/>
  <c r="AC85" i="47"/>
  <c r="L85" i="47"/>
  <c r="O85" i="47"/>
  <c r="AC87" i="47"/>
  <c r="AC18" i="47" s="1"/>
  <c r="F28" i="47"/>
  <c r="D26" i="47"/>
  <c r="AC25" i="31"/>
  <c r="AC22" i="31"/>
  <c r="W85" i="31"/>
  <c r="H22" i="37"/>
  <c r="H25" i="37"/>
  <c r="H27" i="37" s="1"/>
  <c r="X25" i="31"/>
  <c r="X27" i="31" s="1"/>
  <c r="X22" i="31"/>
  <c r="N27" i="31"/>
  <c r="AC87" i="31"/>
  <c r="AC18" i="31" s="1"/>
  <c r="I87" i="31"/>
  <c r="I18" i="31" s="1"/>
  <c r="X87" i="31"/>
  <c r="X18" i="31" s="1"/>
  <c r="B85" i="31"/>
  <c r="AB87" i="31"/>
  <c r="AB18" i="31" s="1"/>
  <c r="N85" i="31"/>
  <c r="Y87" i="31"/>
  <c r="Y18" i="31" s="1"/>
  <c r="F85" i="31"/>
  <c r="B87" i="31"/>
  <c r="B18" i="31" s="1"/>
  <c r="J85" i="31"/>
  <c r="G87" i="31"/>
  <c r="G18" i="31" s="1"/>
  <c r="K87" i="31"/>
  <c r="K18" i="31" s="1"/>
  <c r="R85" i="31"/>
  <c r="D87" i="31"/>
  <c r="D18" i="31" s="1"/>
  <c r="AC85" i="31"/>
  <c r="V85" i="31"/>
  <c r="M85" i="31"/>
  <c r="C87" i="31"/>
  <c r="C18" i="31" s="1"/>
  <c r="F87" i="31"/>
  <c r="F18" i="31" s="1"/>
  <c r="E85" i="31"/>
  <c r="Z85" i="31"/>
  <c r="J87" i="31"/>
  <c r="J18" i="31" s="1"/>
  <c r="I85" i="31"/>
  <c r="Q85" i="31"/>
  <c r="U85" i="31"/>
  <c r="Z87" i="31"/>
  <c r="Z18" i="31" s="1"/>
  <c r="AA87" i="31"/>
  <c r="AA18" i="31" s="1"/>
  <c r="E87" i="31"/>
  <c r="E18" i="31" s="1"/>
  <c r="H87" i="31"/>
  <c r="H18" i="31" s="1"/>
  <c r="Y85" i="31"/>
  <c r="T85" i="31"/>
  <c r="H85" i="31"/>
  <c r="D25" i="47"/>
  <c r="G25" i="52"/>
  <c r="G27" i="52" s="1"/>
  <c r="V28" i="47"/>
  <c r="M22" i="47"/>
  <c r="O28" i="47" s="1"/>
  <c r="N25" i="47"/>
  <c r="N27" i="47" s="1"/>
  <c r="K28" i="51"/>
  <c r="M25" i="52"/>
  <c r="M27" i="52" s="1"/>
  <c r="E28" i="47"/>
  <c r="G28" i="47"/>
  <c r="O22" i="31"/>
  <c r="O26" i="31" s="1"/>
  <c r="O25" i="31"/>
  <c r="Z26" i="47"/>
  <c r="Z27" i="47" s="1"/>
  <c r="AB28" i="47"/>
  <c r="X85" i="31"/>
  <c r="L25" i="47"/>
  <c r="L27" i="47" s="1"/>
  <c r="AC25" i="47"/>
  <c r="AC28" i="47" s="1"/>
  <c r="O25" i="47"/>
  <c r="O27" i="47" s="1"/>
  <c r="R25" i="36"/>
  <c r="R27" i="36" s="1"/>
  <c r="E25" i="52"/>
  <c r="E27" i="52" s="1"/>
  <c r="F26" i="47"/>
  <c r="F27" i="47" s="1"/>
  <c r="H28" i="47"/>
  <c r="B25" i="52"/>
  <c r="B27" i="52" s="1"/>
  <c r="Q25" i="31"/>
  <c r="Q27" i="31" s="1"/>
  <c r="W25" i="36"/>
  <c r="W27" i="36" s="1"/>
  <c r="W28" i="47"/>
  <c r="B28" i="52"/>
  <c r="P28" i="47"/>
  <c r="AA28" i="47"/>
  <c r="X25" i="47"/>
  <c r="X27" i="47" s="1"/>
  <c r="K25" i="52"/>
  <c r="K27" i="52" s="1"/>
  <c r="K22" i="52"/>
  <c r="K28" i="52" s="1"/>
  <c r="K25" i="37"/>
  <c r="K27" i="37" s="1"/>
  <c r="K22" i="37"/>
  <c r="L22" i="37"/>
  <c r="L25" i="37"/>
  <c r="L27" i="37" s="1"/>
  <c r="N22" i="52"/>
  <c r="N25" i="52"/>
  <c r="N27" i="52" s="1"/>
  <c r="M22" i="51"/>
  <c r="M25" i="51"/>
  <c r="M27" i="51" s="1"/>
  <c r="C25" i="52"/>
  <c r="C27" i="52" s="1"/>
  <c r="G25" i="37"/>
  <c r="G27" i="37" s="1"/>
  <c r="G22" i="37"/>
  <c r="B25" i="37"/>
  <c r="B27" i="37" s="1"/>
  <c r="B22" i="37"/>
  <c r="N22" i="37"/>
  <c r="N25" i="37"/>
  <c r="N27" i="37" s="1"/>
  <c r="E87" i="51"/>
  <c r="G85" i="51"/>
  <c r="J87" i="51"/>
  <c r="J85" i="51"/>
  <c r="B85" i="51"/>
  <c r="K85" i="51"/>
  <c r="L87" i="51"/>
  <c r="H85" i="51"/>
  <c r="M87" i="51"/>
  <c r="I85" i="51"/>
  <c r="F87" i="51"/>
  <c r="F85" i="51"/>
  <c r="K87" i="51"/>
  <c r="E85" i="51"/>
  <c r="D87" i="51"/>
  <c r="D85" i="51"/>
  <c r="L85" i="51"/>
  <c r="M85" i="51"/>
  <c r="C85" i="51"/>
  <c r="H22" i="51"/>
  <c r="J28" i="51" s="1"/>
  <c r="H25" i="51"/>
  <c r="H27" i="51" s="1"/>
  <c r="F22" i="51"/>
  <c r="F25" i="51"/>
  <c r="F27" i="51" s="1"/>
  <c r="L22" i="51"/>
  <c r="L25" i="51"/>
  <c r="L27" i="51" s="1"/>
  <c r="K87" i="37"/>
  <c r="K85" i="37"/>
  <c r="G85" i="37"/>
  <c r="C85" i="37"/>
  <c r="J87" i="37"/>
  <c r="F87" i="37"/>
  <c r="J85" i="37"/>
  <c r="F85" i="37"/>
  <c r="B85" i="37"/>
  <c r="E87" i="37"/>
  <c r="I85" i="37"/>
  <c r="M87" i="37"/>
  <c r="M85" i="37"/>
  <c r="E85" i="37"/>
  <c r="L87" i="37"/>
  <c r="D87" i="37"/>
  <c r="H85" i="37"/>
  <c r="D85" i="37"/>
  <c r="L85" i="37"/>
  <c r="M22" i="37"/>
  <c r="M25" i="37"/>
  <c r="M27" i="37" s="1"/>
  <c r="D22" i="37"/>
  <c r="D25" i="37"/>
  <c r="D27" i="37" s="1"/>
  <c r="F22" i="52"/>
  <c r="F28" i="52" s="1"/>
  <c r="F25" i="52"/>
  <c r="F27" i="52" s="1"/>
  <c r="G25" i="51"/>
  <c r="G27" i="51" s="1"/>
  <c r="G22" i="51"/>
  <c r="J22" i="37"/>
  <c r="J25" i="37"/>
  <c r="J27" i="37" s="1"/>
  <c r="F25" i="37"/>
  <c r="F27" i="37" s="1"/>
  <c r="F22" i="37"/>
  <c r="K87" i="52"/>
  <c r="I85" i="52"/>
  <c r="L87" i="52"/>
  <c r="L85" i="52"/>
  <c r="D85" i="52"/>
  <c r="E87" i="52"/>
  <c r="E85" i="52"/>
  <c r="D87" i="52"/>
  <c r="B85" i="52"/>
  <c r="M85" i="52"/>
  <c r="C85" i="52"/>
  <c r="J85" i="52"/>
  <c r="K85" i="52"/>
  <c r="J87" i="52"/>
  <c r="H85" i="52"/>
  <c r="F85" i="52"/>
  <c r="M87" i="52"/>
  <c r="G85" i="52"/>
  <c r="F87" i="52"/>
  <c r="E25" i="51"/>
  <c r="E27" i="51" s="1"/>
  <c r="E22" i="51"/>
  <c r="E28" i="52"/>
  <c r="C22" i="51"/>
  <c r="C25" i="51"/>
  <c r="C27" i="51" s="1"/>
  <c r="D25" i="51"/>
  <c r="D27" i="51" s="1"/>
  <c r="D22" i="51"/>
  <c r="I25" i="37"/>
  <c r="I27" i="37" s="1"/>
  <c r="I22" i="37"/>
  <c r="C22" i="37"/>
  <c r="C25" i="37"/>
  <c r="C27" i="37" s="1"/>
  <c r="J28" i="52"/>
  <c r="I28" i="52"/>
  <c r="D28" i="52"/>
  <c r="Y22" i="36"/>
  <c r="Y25" i="36"/>
  <c r="G26" i="36"/>
  <c r="G27" i="36" s="1"/>
  <c r="AC22" i="36"/>
  <c r="AC25" i="36"/>
  <c r="O26" i="36"/>
  <c r="O27" i="36" s="1"/>
  <c r="F22" i="36"/>
  <c r="G28" i="36" s="1"/>
  <c r="F25" i="36"/>
  <c r="K25" i="36"/>
  <c r="K27" i="36" s="1"/>
  <c r="K22" i="36"/>
  <c r="M25" i="36"/>
  <c r="M27" i="36" s="1"/>
  <c r="M22" i="36"/>
  <c r="D22" i="36"/>
  <c r="D25" i="36"/>
  <c r="I22" i="36"/>
  <c r="I25" i="36"/>
  <c r="N22" i="36"/>
  <c r="N25" i="36"/>
  <c r="S25" i="36"/>
  <c r="S27" i="36" s="1"/>
  <c r="S22" i="36"/>
  <c r="X22" i="36"/>
  <c r="X25" i="36"/>
  <c r="X27" i="36" s="1"/>
  <c r="T22" i="36"/>
  <c r="T25" i="36"/>
  <c r="T27" i="36" s="1"/>
  <c r="C25" i="36"/>
  <c r="C22" i="36"/>
  <c r="J25" i="36"/>
  <c r="J27" i="36" s="1"/>
  <c r="J22" i="36"/>
  <c r="AB22" i="36"/>
  <c r="AB25" i="36"/>
  <c r="L22" i="36"/>
  <c r="L25" i="36"/>
  <c r="L27" i="36" s="1"/>
  <c r="Q22" i="36"/>
  <c r="Q25" i="36"/>
  <c r="Q27" i="36" s="1"/>
  <c r="V22" i="36"/>
  <c r="V25" i="36"/>
  <c r="V27" i="36" s="1"/>
  <c r="AA22" i="36"/>
  <c r="AA25" i="36"/>
  <c r="Z25" i="36"/>
  <c r="Z22" i="36"/>
  <c r="H22" i="36"/>
  <c r="H25" i="36"/>
  <c r="AA22" i="32"/>
  <c r="AA25" i="32"/>
  <c r="Y26" i="32"/>
  <c r="Y27" i="32" s="1"/>
  <c r="Q22" i="32"/>
  <c r="Q25" i="32"/>
  <c r="Q27" i="32" s="1"/>
  <c r="B25" i="32"/>
  <c r="B22" i="32"/>
  <c r="H22" i="32"/>
  <c r="H25" i="32"/>
  <c r="M22" i="32"/>
  <c r="M25" i="32"/>
  <c r="M27" i="32" s="1"/>
  <c r="T25" i="32"/>
  <c r="T27" i="32" s="1"/>
  <c r="T22" i="32"/>
  <c r="W25" i="32"/>
  <c r="W27" i="32" s="1"/>
  <c r="W22" i="32"/>
  <c r="L25" i="32"/>
  <c r="L27" i="32" s="1"/>
  <c r="L22" i="32"/>
  <c r="E22" i="32"/>
  <c r="E25" i="32"/>
  <c r="E27" i="32" s="1"/>
  <c r="C22" i="32"/>
  <c r="C25" i="32"/>
  <c r="Z26" i="32"/>
  <c r="Z27" i="32" s="1"/>
  <c r="G25" i="32"/>
  <c r="G22" i="32"/>
  <c r="P22" i="32"/>
  <c r="P25" i="32"/>
  <c r="P27" i="32" s="1"/>
  <c r="U22" i="32"/>
  <c r="U25" i="32"/>
  <c r="U27" i="32" s="1"/>
  <c r="J22" i="32"/>
  <c r="J25" i="32"/>
  <c r="J27" i="32" s="1"/>
  <c r="K22" i="32"/>
  <c r="K25" i="32"/>
  <c r="K27" i="32" s="1"/>
  <c r="AB25" i="32"/>
  <c r="AB22" i="32"/>
  <c r="X87" i="32"/>
  <c r="X18" i="32" s="1"/>
  <c r="D87" i="32"/>
  <c r="D18" i="32" s="1"/>
  <c r="K87" i="32"/>
  <c r="K18" i="32" s="1"/>
  <c r="C87" i="32"/>
  <c r="C18" i="32" s="1"/>
  <c r="J87" i="32"/>
  <c r="J18" i="32" s="1"/>
  <c r="B87" i="32"/>
  <c r="B18" i="32" s="1"/>
  <c r="I87" i="32"/>
  <c r="I18" i="32" s="1"/>
  <c r="Z85" i="32"/>
  <c r="R85" i="32"/>
  <c r="J85" i="32"/>
  <c r="B85" i="32"/>
  <c r="U85" i="32"/>
  <c r="M85" i="32"/>
  <c r="E85" i="32"/>
  <c r="H87" i="32"/>
  <c r="H18" i="32" s="1"/>
  <c r="F87" i="32"/>
  <c r="F18" i="32" s="1"/>
  <c r="AC85" i="32"/>
  <c r="AB85" i="32"/>
  <c r="P85" i="32"/>
  <c r="F85" i="32"/>
  <c r="W85" i="32"/>
  <c r="K85" i="32"/>
  <c r="H85" i="32"/>
  <c r="C85" i="32"/>
  <c r="AB87" i="32"/>
  <c r="AB18" i="32" s="1"/>
  <c r="Z87" i="32"/>
  <c r="Z18" i="32" s="1"/>
  <c r="X85" i="32"/>
  <c r="N85" i="32"/>
  <c r="D85" i="32"/>
  <c r="S85" i="32"/>
  <c r="I85" i="32"/>
  <c r="G87" i="32"/>
  <c r="G18" i="32" s="1"/>
  <c r="AC87" i="32"/>
  <c r="AC18" i="32" s="1"/>
  <c r="L85" i="32"/>
  <c r="Q85" i="32"/>
  <c r="AA87" i="32"/>
  <c r="AA18" i="32" s="1"/>
  <c r="Y85" i="32"/>
  <c r="E87" i="32"/>
  <c r="E18" i="32" s="1"/>
  <c r="V85" i="32"/>
  <c r="AA85" i="32"/>
  <c r="G85" i="32"/>
  <c r="Y87" i="32"/>
  <c r="Y18" i="32" s="1"/>
  <c r="T85" i="32"/>
  <c r="O85" i="32"/>
  <c r="V22" i="32"/>
  <c r="V25" i="32"/>
  <c r="V27" i="32" s="1"/>
  <c r="X22" i="32"/>
  <c r="Z28" i="32" s="1"/>
  <c r="X25" i="32"/>
  <c r="X27" i="32" s="1"/>
  <c r="AC22" i="32"/>
  <c r="AC25" i="32"/>
  <c r="O22" i="32"/>
  <c r="O25" i="32"/>
  <c r="R22" i="32"/>
  <c r="R25" i="32"/>
  <c r="R27" i="32" s="1"/>
  <c r="F22" i="32"/>
  <c r="F25" i="32"/>
  <c r="T25" i="49"/>
  <c r="T27" i="49" s="1"/>
  <c r="T22" i="49"/>
  <c r="J25" i="49"/>
  <c r="J27" i="49" s="1"/>
  <c r="J22" i="49"/>
  <c r="C22" i="34"/>
  <c r="C25" i="34"/>
  <c r="T25" i="34"/>
  <c r="T27" i="34" s="1"/>
  <c r="T22" i="34"/>
  <c r="F25" i="49"/>
  <c r="F22" i="49"/>
  <c r="AB22" i="49"/>
  <c r="AB25" i="49"/>
  <c r="G25" i="49"/>
  <c r="G22" i="49"/>
  <c r="W22" i="49"/>
  <c r="W25" i="49"/>
  <c r="W27" i="49" s="1"/>
  <c r="N25" i="34"/>
  <c r="N22" i="34"/>
  <c r="K22" i="34"/>
  <c r="K25" i="34"/>
  <c r="K27" i="34" s="1"/>
  <c r="R22" i="34"/>
  <c r="R25" i="34"/>
  <c r="R27" i="34" s="1"/>
  <c r="W22" i="34"/>
  <c r="W25" i="34"/>
  <c r="W27" i="34" s="1"/>
  <c r="AB22" i="34"/>
  <c r="AB25" i="34"/>
  <c r="X25" i="34"/>
  <c r="X27" i="34" s="1"/>
  <c r="X22" i="34"/>
  <c r="V25" i="34"/>
  <c r="V27" i="34" s="1"/>
  <c r="V22" i="34"/>
  <c r="AA87" i="49"/>
  <c r="AA18" i="49" s="1"/>
  <c r="G87" i="49"/>
  <c r="G18" i="49" s="1"/>
  <c r="Z87" i="49"/>
  <c r="Z18" i="49" s="1"/>
  <c r="F87" i="49"/>
  <c r="F18" i="49" s="1"/>
  <c r="Y87" i="49"/>
  <c r="Y18" i="49" s="1"/>
  <c r="E87" i="49"/>
  <c r="E18" i="49" s="1"/>
  <c r="H87" i="49"/>
  <c r="H18" i="49" s="1"/>
  <c r="AC87" i="49"/>
  <c r="AC18" i="49" s="1"/>
  <c r="X85" i="49"/>
  <c r="P85" i="49"/>
  <c r="H85" i="49"/>
  <c r="AA85" i="49"/>
  <c r="S85" i="49"/>
  <c r="K85" i="49"/>
  <c r="C85" i="49"/>
  <c r="V85" i="49"/>
  <c r="N85" i="49"/>
  <c r="F85" i="49"/>
  <c r="Y85" i="49"/>
  <c r="Q85" i="49"/>
  <c r="I85" i="49"/>
  <c r="X87" i="49"/>
  <c r="X18" i="49" s="1"/>
  <c r="K87" i="49"/>
  <c r="K18" i="49" s="1"/>
  <c r="C87" i="49"/>
  <c r="C18" i="49" s="1"/>
  <c r="J87" i="49"/>
  <c r="J18" i="49" s="1"/>
  <c r="B87" i="49"/>
  <c r="B18" i="49" s="1"/>
  <c r="I87" i="49"/>
  <c r="I18" i="49" s="1"/>
  <c r="AB87" i="49"/>
  <c r="AB18" i="49" s="1"/>
  <c r="D87" i="49"/>
  <c r="D18" i="49" s="1"/>
  <c r="Z85" i="49"/>
  <c r="J85" i="49"/>
  <c r="U85" i="49"/>
  <c r="E85" i="49"/>
  <c r="T85" i="49"/>
  <c r="D85" i="49"/>
  <c r="O85" i="49"/>
  <c r="R85" i="49"/>
  <c r="M85" i="49"/>
  <c r="AC85" i="49"/>
  <c r="L85" i="49"/>
  <c r="G85" i="49"/>
  <c r="B85" i="49"/>
  <c r="W85" i="49"/>
  <c r="AB85" i="49"/>
  <c r="M25" i="49"/>
  <c r="M27" i="49" s="1"/>
  <c r="M22" i="49"/>
  <c r="O25" i="49"/>
  <c r="O22" i="49"/>
  <c r="AA25" i="34"/>
  <c r="AA22" i="34"/>
  <c r="U22" i="49"/>
  <c r="U25" i="49"/>
  <c r="U27" i="49" s="1"/>
  <c r="C22" i="49"/>
  <c r="C25" i="49"/>
  <c r="S22" i="49"/>
  <c r="S25" i="49"/>
  <c r="S27" i="49" s="1"/>
  <c r="N22" i="49"/>
  <c r="N25" i="49"/>
  <c r="AC25" i="49"/>
  <c r="AC22" i="49"/>
  <c r="P22" i="49"/>
  <c r="R28" i="49" s="1"/>
  <c r="P25" i="49"/>
  <c r="P27" i="49" s="1"/>
  <c r="F22" i="34"/>
  <c r="F25" i="34"/>
  <c r="Z25" i="34"/>
  <c r="Z22" i="34"/>
  <c r="D22" i="34"/>
  <c r="D25" i="34"/>
  <c r="I25" i="34"/>
  <c r="I22" i="34"/>
  <c r="S28" i="49"/>
  <c r="H25" i="34"/>
  <c r="H22" i="34"/>
  <c r="D26" i="49"/>
  <c r="D27" i="49" s="1"/>
  <c r="AC27" i="34"/>
  <c r="AC28" i="34"/>
  <c r="H25" i="49"/>
  <c r="H22" i="49"/>
  <c r="J25" i="34"/>
  <c r="J27" i="34" s="1"/>
  <c r="J22" i="34"/>
  <c r="O25" i="34"/>
  <c r="O22" i="34"/>
  <c r="Y22" i="34"/>
  <c r="Y25" i="34"/>
  <c r="M22" i="34"/>
  <c r="M25" i="34"/>
  <c r="M27" i="34" s="1"/>
  <c r="Z26" i="49"/>
  <c r="Z27" i="49" s="1"/>
  <c r="AA87" i="34"/>
  <c r="AA18" i="34" s="1"/>
  <c r="G87" i="34"/>
  <c r="G18" i="34" s="1"/>
  <c r="Z87" i="34"/>
  <c r="Z18" i="34" s="1"/>
  <c r="F87" i="34"/>
  <c r="F18" i="34" s="1"/>
  <c r="D87" i="34"/>
  <c r="D18" i="34" s="1"/>
  <c r="I87" i="34"/>
  <c r="I18" i="34" s="1"/>
  <c r="AB87" i="34"/>
  <c r="AB18" i="34" s="1"/>
  <c r="H87" i="34"/>
  <c r="H18" i="34" s="1"/>
  <c r="X85" i="34"/>
  <c r="P85" i="34"/>
  <c r="H85" i="34"/>
  <c r="AA85" i="34"/>
  <c r="S85" i="34"/>
  <c r="K85" i="34"/>
  <c r="C85" i="34"/>
  <c r="AC87" i="34"/>
  <c r="AC18" i="34" s="1"/>
  <c r="V85" i="34"/>
  <c r="N85" i="34"/>
  <c r="F85" i="34"/>
  <c r="Y85" i="34"/>
  <c r="Q85" i="34"/>
  <c r="I85" i="34"/>
  <c r="R85" i="34"/>
  <c r="B85" i="34"/>
  <c r="M85" i="34"/>
  <c r="J85" i="34"/>
  <c r="E85" i="34"/>
  <c r="K87" i="34"/>
  <c r="K18" i="34" s="1"/>
  <c r="D85" i="34"/>
  <c r="C87" i="34"/>
  <c r="C18" i="34" s="1"/>
  <c r="B87" i="34"/>
  <c r="B18" i="34" s="1"/>
  <c r="E87" i="34"/>
  <c r="E18" i="34" s="1"/>
  <c r="AB85" i="34"/>
  <c r="L85" i="34"/>
  <c r="W85" i="34"/>
  <c r="G85" i="34"/>
  <c r="AC85" i="34"/>
  <c r="Z85" i="34"/>
  <c r="U85" i="34"/>
  <c r="J87" i="34"/>
  <c r="J18" i="34" s="1"/>
  <c r="X87" i="34"/>
  <c r="X18" i="34" s="1"/>
  <c r="T85" i="34"/>
  <c r="Y87" i="34"/>
  <c r="Y18" i="34" s="1"/>
  <c r="O85" i="34"/>
  <c r="E22" i="49"/>
  <c r="E25" i="49"/>
  <c r="E27" i="49" s="1"/>
  <c r="K22" i="49"/>
  <c r="K25" i="49"/>
  <c r="K27" i="49" s="1"/>
  <c r="AA25" i="49"/>
  <c r="AA22" i="49"/>
  <c r="V25" i="49"/>
  <c r="V27" i="49" s="1"/>
  <c r="V22" i="49"/>
  <c r="B25" i="49"/>
  <c r="B22" i="49"/>
  <c r="X25" i="49"/>
  <c r="X27" i="49" s="1"/>
  <c r="X22" i="49"/>
  <c r="Z28" i="49" s="1"/>
  <c r="I26" i="49"/>
  <c r="I27" i="49" s="1"/>
  <c r="S22" i="34"/>
  <c r="S25" i="34"/>
  <c r="S27" i="34" s="1"/>
  <c r="B25" i="34"/>
  <c r="B22" i="34"/>
  <c r="G25" i="34"/>
  <c r="G22" i="34"/>
  <c r="L22" i="34"/>
  <c r="L25" i="34"/>
  <c r="L27" i="34" s="1"/>
  <c r="Q25" i="34"/>
  <c r="Q27" i="34" s="1"/>
  <c r="Q22" i="34"/>
  <c r="L25" i="31"/>
  <c r="L27" i="31" s="1"/>
  <c r="L22" i="31"/>
  <c r="N28" i="31" s="1"/>
  <c r="O25" i="48"/>
  <c r="O22" i="48"/>
  <c r="H27" i="47"/>
  <c r="F22" i="31"/>
  <c r="F25" i="31"/>
  <c r="P22" i="31"/>
  <c r="P25" i="31"/>
  <c r="P27" i="31" s="1"/>
  <c r="T28" i="47"/>
  <c r="S28" i="47"/>
  <c r="G22" i="31"/>
  <c r="G25" i="31"/>
  <c r="J28" i="47"/>
  <c r="AA25" i="31"/>
  <c r="AA22" i="31"/>
  <c r="W25" i="31"/>
  <c r="W27" i="31" s="1"/>
  <c r="W22" i="31"/>
  <c r="M25" i="48"/>
  <c r="M27" i="48" s="1"/>
  <c r="M22" i="48"/>
  <c r="P25" i="48"/>
  <c r="P27" i="48" s="1"/>
  <c r="P22" i="48"/>
  <c r="W25" i="48"/>
  <c r="W27" i="48" s="1"/>
  <c r="W22" i="48"/>
  <c r="AB22" i="48"/>
  <c r="AB25" i="48"/>
  <c r="F25" i="48"/>
  <c r="F22" i="48"/>
  <c r="K25" i="48"/>
  <c r="K27" i="48" s="1"/>
  <c r="K22" i="48"/>
  <c r="S22" i="31"/>
  <c r="S25" i="31"/>
  <c r="S27" i="31" s="1"/>
  <c r="V22" i="31"/>
  <c r="V25" i="31"/>
  <c r="V27" i="31" s="1"/>
  <c r="J22" i="31"/>
  <c r="J25" i="31"/>
  <c r="J27" i="31" s="1"/>
  <c r="Z22" i="48"/>
  <c r="Z25" i="48"/>
  <c r="B25" i="48"/>
  <c r="B22" i="48"/>
  <c r="U25" i="47"/>
  <c r="U27" i="47" s="1"/>
  <c r="D28" i="47"/>
  <c r="C28" i="47"/>
  <c r="B28" i="47"/>
  <c r="B26" i="47"/>
  <c r="Z28" i="47"/>
  <c r="Y28" i="47"/>
  <c r="R25" i="31"/>
  <c r="R27" i="31" s="1"/>
  <c r="R22" i="31"/>
  <c r="H22" i="48"/>
  <c r="H25" i="48"/>
  <c r="E22" i="48"/>
  <c r="E25" i="48"/>
  <c r="E27" i="48" s="1"/>
  <c r="D22" i="48"/>
  <c r="D25" i="48"/>
  <c r="I25" i="48"/>
  <c r="I22" i="48"/>
  <c r="N22" i="48"/>
  <c r="N25" i="48"/>
  <c r="S25" i="48"/>
  <c r="S27" i="48" s="1"/>
  <c r="S22" i="48"/>
  <c r="T25" i="31"/>
  <c r="T27" i="31" s="1"/>
  <c r="T22" i="31"/>
  <c r="I25" i="31"/>
  <c r="I22" i="31"/>
  <c r="C25" i="31"/>
  <c r="C22" i="31"/>
  <c r="Z22" i="31"/>
  <c r="Z25" i="31"/>
  <c r="K28" i="47"/>
  <c r="U22" i="48"/>
  <c r="U25" i="48"/>
  <c r="U27" i="48" s="1"/>
  <c r="T22" i="48"/>
  <c r="T25" i="48"/>
  <c r="T27" i="48" s="1"/>
  <c r="Y22" i="48"/>
  <c r="Y25" i="48"/>
  <c r="C22" i="48"/>
  <c r="C25" i="48"/>
  <c r="R28" i="47"/>
  <c r="AC28" i="48"/>
  <c r="AC27" i="48"/>
  <c r="D25" i="31"/>
  <c r="D22" i="31"/>
  <c r="R25" i="48"/>
  <c r="R27" i="48" s="1"/>
  <c r="R22" i="48"/>
  <c r="X22" i="48"/>
  <c r="X25" i="48"/>
  <c r="X27" i="48" s="1"/>
  <c r="G22" i="48"/>
  <c r="G25" i="48"/>
  <c r="L25" i="48"/>
  <c r="L27" i="48" s="1"/>
  <c r="L22" i="48"/>
  <c r="Q22" i="48"/>
  <c r="Q25" i="48"/>
  <c r="Q27" i="48" s="1"/>
  <c r="V22" i="48"/>
  <c r="V25" i="48"/>
  <c r="V27" i="48" s="1"/>
  <c r="AA25" i="48"/>
  <c r="AA22" i="48"/>
  <c r="Q28" i="47"/>
  <c r="AB25" i="31"/>
  <c r="AB22" i="31"/>
  <c r="Y25" i="31"/>
  <c r="Y22" i="31"/>
  <c r="AC27" i="47"/>
  <c r="E22" i="31"/>
  <c r="E25" i="31"/>
  <c r="E27" i="31" s="1"/>
  <c r="V25" i="47"/>
  <c r="V27" i="47" s="1"/>
  <c r="T25" i="47"/>
  <c r="T27" i="47" s="1"/>
  <c r="I27" i="47" l="1"/>
  <c r="B27" i="47"/>
  <c r="I28" i="36"/>
  <c r="M28" i="31"/>
  <c r="H28" i="37"/>
  <c r="D28" i="37"/>
  <c r="H28" i="51"/>
  <c r="I28" i="51"/>
  <c r="AB28" i="49"/>
  <c r="M28" i="49"/>
  <c r="X28" i="32"/>
  <c r="T28" i="48"/>
  <c r="O27" i="31"/>
  <c r="U28" i="34"/>
  <c r="N28" i="49"/>
  <c r="D27" i="47"/>
  <c r="L28" i="31"/>
  <c r="G28" i="49"/>
  <c r="O28" i="34"/>
  <c r="N28" i="47"/>
  <c r="X28" i="48"/>
  <c r="O28" i="49"/>
  <c r="E28" i="37"/>
  <c r="L28" i="36"/>
  <c r="M28" i="37"/>
  <c r="M28" i="48"/>
  <c r="C28" i="37"/>
  <c r="G28" i="31"/>
  <c r="Y28" i="34"/>
  <c r="N28" i="32"/>
  <c r="V28" i="31"/>
  <c r="O28" i="31"/>
  <c r="Z28" i="48"/>
  <c r="Z28" i="36"/>
  <c r="G28" i="51"/>
  <c r="L28" i="37"/>
  <c r="AC27" i="31"/>
  <c r="AC28" i="31"/>
  <c r="M28" i="47"/>
  <c r="E28" i="51"/>
  <c r="D28" i="51"/>
  <c r="F28" i="51"/>
  <c r="B28" i="51"/>
  <c r="L28" i="51"/>
  <c r="M28" i="51"/>
  <c r="M28" i="52"/>
  <c r="L28" i="52"/>
  <c r="K28" i="37"/>
  <c r="J28" i="37"/>
  <c r="G28" i="52"/>
  <c r="H28" i="52"/>
  <c r="F28" i="37"/>
  <c r="G28" i="37"/>
  <c r="I28" i="37"/>
  <c r="C28" i="51"/>
  <c r="B28" i="37"/>
  <c r="E28" i="36"/>
  <c r="C26" i="36"/>
  <c r="C27" i="36" s="1"/>
  <c r="D28" i="36"/>
  <c r="H26" i="36"/>
  <c r="H27" i="36" s="1"/>
  <c r="J28" i="36"/>
  <c r="S28" i="36"/>
  <c r="R28" i="36"/>
  <c r="AB26" i="36"/>
  <c r="AB27" i="36" s="1"/>
  <c r="C28" i="36"/>
  <c r="P28" i="36"/>
  <c r="N26" i="36"/>
  <c r="N27" i="36" s="1"/>
  <c r="F28" i="36"/>
  <c r="D26" i="36"/>
  <c r="D27" i="36" s="1"/>
  <c r="Y28" i="36"/>
  <c r="H28" i="36"/>
  <c r="F26" i="36"/>
  <c r="F27" i="36" s="1"/>
  <c r="Z26" i="36"/>
  <c r="Z27" i="36" s="1"/>
  <c r="AB28" i="36"/>
  <c r="U28" i="36"/>
  <c r="T28" i="36"/>
  <c r="M28" i="36"/>
  <c r="AA28" i="36"/>
  <c r="Y26" i="36"/>
  <c r="Y27" i="36" s="1"/>
  <c r="B28" i="36"/>
  <c r="AA26" i="36"/>
  <c r="AA27" i="36" s="1"/>
  <c r="AC28" i="36"/>
  <c r="AC27" i="36"/>
  <c r="W28" i="36"/>
  <c r="X28" i="36"/>
  <c r="N28" i="36"/>
  <c r="V28" i="36"/>
  <c r="K28" i="36"/>
  <c r="I26" i="36"/>
  <c r="I27" i="36" s="1"/>
  <c r="O28" i="36"/>
  <c r="Q28" i="36"/>
  <c r="AC28" i="32"/>
  <c r="AC27" i="32"/>
  <c r="I28" i="32"/>
  <c r="G26" i="32"/>
  <c r="G27" i="32" s="1"/>
  <c r="T28" i="32"/>
  <c r="M28" i="32"/>
  <c r="W28" i="32"/>
  <c r="E28" i="32"/>
  <c r="C26" i="32"/>
  <c r="C27" i="32" s="1"/>
  <c r="H26" i="32"/>
  <c r="H27" i="32" s="1"/>
  <c r="J28" i="32"/>
  <c r="S28" i="32"/>
  <c r="AA26" i="32"/>
  <c r="AA27" i="32" s="1"/>
  <c r="B28" i="32"/>
  <c r="V28" i="32"/>
  <c r="U28" i="32"/>
  <c r="C28" i="32"/>
  <c r="AB26" i="32"/>
  <c r="AB27" i="32" s="1"/>
  <c r="Y28" i="32"/>
  <c r="B26" i="32"/>
  <c r="B27" i="32" s="1"/>
  <c r="D28" i="32"/>
  <c r="AA28" i="32"/>
  <c r="H28" i="32"/>
  <c r="F26" i="32"/>
  <c r="F27" i="32" s="1"/>
  <c r="Q28" i="32"/>
  <c r="O26" i="32"/>
  <c r="O27" i="32" s="1"/>
  <c r="P28" i="32"/>
  <c r="L28" i="32"/>
  <c r="K28" i="32"/>
  <c r="R28" i="32"/>
  <c r="AB28" i="32"/>
  <c r="G28" i="32"/>
  <c r="F28" i="32"/>
  <c r="O28" i="32"/>
  <c r="J28" i="49"/>
  <c r="H26" i="49"/>
  <c r="H27" i="49" s="1"/>
  <c r="F28" i="34"/>
  <c r="D26" i="34"/>
  <c r="D27" i="34" s="1"/>
  <c r="T28" i="49"/>
  <c r="U28" i="49"/>
  <c r="AB26" i="49"/>
  <c r="AB27" i="49" s="1"/>
  <c r="C28" i="49"/>
  <c r="B26" i="34"/>
  <c r="B27" i="34" s="1"/>
  <c r="D28" i="34"/>
  <c r="L28" i="34"/>
  <c r="F28" i="49"/>
  <c r="I26" i="34"/>
  <c r="I27" i="34" s="1"/>
  <c r="K28" i="34"/>
  <c r="Z26" i="34"/>
  <c r="Z27" i="34" s="1"/>
  <c r="AB28" i="34"/>
  <c r="AA26" i="34"/>
  <c r="AA27" i="34" s="1"/>
  <c r="B28" i="34"/>
  <c r="P28" i="34"/>
  <c r="N26" i="34"/>
  <c r="N27" i="34" s="1"/>
  <c r="I28" i="49"/>
  <c r="G26" i="49"/>
  <c r="G27" i="49" s="1"/>
  <c r="F26" i="49"/>
  <c r="F27" i="49" s="1"/>
  <c r="H28" i="49"/>
  <c r="V28" i="49"/>
  <c r="AC27" i="49"/>
  <c r="AC28" i="49"/>
  <c r="W28" i="49"/>
  <c r="Y28" i="49"/>
  <c r="N28" i="34"/>
  <c r="D28" i="49"/>
  <c r="B26" i="49"/>
  <c r="B27" i="49" s="1"/>
  <c r="B28" i="49"/>
  <c r="AA26" i="49"/>
  <c r="AA27" i="49" s="1"/>
  <c r="AA28" i="49"/>
  <c r="AA28" i="34"/>
  <c r="Y26" i="34"/>
  <c r="Y27" i="34" s="1"/>
  <c r="J28" i="34"/>
  <c r="H26" i="34"/>
  <c r="H27" i="34" s="1"/>
  <c r="N26" i="49"/>
  <c r="N27" i="49" s="1"/>
  <c r="P28" i="49"/>
  <c r="C26" i="49"/>
  <c r="C27" i="49" s="1"/>
  <c r="E28" i="49"/>
  <c r="Z28" i="34"/>
  <c r="C28" i="34"/>
  <c r="AB26" i="34"/>
  <c r="AB27" i="34" s="1"/>
  <c r="T28" i="34"/>
  <c r="E28" i="34"/>
  <c r="C26" i="34"/>
  <c r="C27" i="34" s="1"/>
  <c r="X28" i="49"/>
  <c r="H28" i="34"/>
  <c r="F26" i="34"/>
  <c r="F27" i="34" s="1"/>
  <c r="G28" i="34"/>
  <c r="M28" i="34"/>
  <c r="S28" i="34"/>
  <c r="R28" i="34"/>
  <c r="I28" i="34"/>
  <c r="G26" i="34"/>
  <c r="G27" i="34" s="1"/>
  <c r="W28" i="34"/>
  <c r="K28" i="49"/>
  <c r="O26" i="34"/>
  <c r="O27" i="34" s="1"/>
  <c r="Q28" i="34"/>
  <c r="O26" i="49"/>
  <c r="O27" i="49" s="1"/>
  <c r="Q28" i="49"/>
  <c r="X28" i="34"/>
  <c r="V28" i="34"/>
  <c r="L28" i="49"/>
  <c r="I28" i="31"/>
  <c r="G26" i="31"/>
  <c r="G27" i="31" s="1"/>
  <c r="Q28" i="48"/>
  <c r="O26" i="48"/>
  <c r="AB26" i="31"/>
  <c r="AB27" i="31" s="1"/>
  <c r="C28" i="31"/>
  <c r="S28" i="48"/>
  <c r="I28" i="48"/>
  <c r="G26" i="48"/>
  <c r="G27" i="48" s="1"/>
  <c r="E28" i="48"/>
  <c r="C26" i="48"/>
  <c r="C27" i="48" s="1"/>
  <c r="V28" i="48"/>
  <c r="I26" i="31"/>
  <c r="I27" i="31" s="1"/>
  <c r="K28" i="31"/>
  <c r="J28" i="31"/>
  <c r="U28" i="48"/>
  <c r="I26" i="48"/>
  <c r="I27" i="48" s="1"/>
  <c r="K28" i="48"/>
  <c r="T28" i="31"/>
  <c r="S28" i="31"/>
  <c r="Z26" i="48"/>
  <c r="Z27" i="48" s="1"/>
  <c r="AB28" i="48"/>
  <c r="X28" i="31"/>
  <c r="W28" i="31"/>
  <c r="C28" i="48"/>
  <c r="AB26" i="48"/>
  <c r="AB27" i="48" s="1"/>
  <c r="Y28" i="31"/>
  <c r="O27" i="48"/>
  <c r="N26" i="48"/>
  <c r="N27" i="48" s="1"/>
  <c r="P28" i="48"/>
  <c r="N28" i="48"/>
  <c r="F28" i="31"/>
  <c r="D26" i="31"/>
  <c r="D27" i="31" s="1"/>
  <c r="Z26" i="31"/>
  <c r="Z27" i="31" s="1"/>
  <c r="AB28" i="31"/>
  <c r="G28" i="48"/>
  <c r="B26" i="48"/>
  <c r="B27" i="48" s="1"/>
  <c r="D28" i="48"/>
  <c r="F26" i="48"/>
  <c r="F27" i="48" s="1"/>
  <c r="H28" i="48"/>
  <c r="Y28" i="48"/>
  <c r="O28" i="48"/>
  <c r="F26" i="31"/>
  <c r="F27" i="31" s="1"/>
  <c r="H28" i="31"/>
  <c r="AA26" i="48"/>
  <c r="AA27" i="48" s="1"/>
  <c r="B28" i="48"/>
  <c r="D26" i="48"/>
  <c r="D27" i="48" s="1"/>
  <c r="F28" i="48"/>
  <c r="J28" i="48"/>
  <c r="H26" i="48"/>
  <c r="H27" i="48" s="1"/>
  <c r="R28" i="48"/>
  <c r="R28" i="31"/>
  <c r="Q28" i="31"/>
  <c r="P28" i="31"/>
  <c r="AA28" i="31"/>
  <c r="Y26" i="31"/>
  <c r="Y27" i="31" s="1"/>
  <c r="Z28" i="31"/>
  <c r="L28" i="48"/>
  <c r="AA28" i="48"/>
  <c r="Y26" i="48"/>
  <c r="Y27" i="48" s="1"/>
  <c r="W28" i="48"/>
  <c r="C26" i="31"/>
  <c r="C27" i="31" s="1"/>
  <c r="E28" i="31"/>
  <c r="D28" i="31"/>
  <c r="U28" i="31"/>
  <c r="B28" i="31"/>
  <c r="AA26" i="31"/>
  <c r="AA27"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2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55" authorId="0" shapeId="0" xr:uid="{00000000-0006-0000-0200-000003000000}">
      <text>
        <r>
          <rPr>
            <b/>
            <sz val="8"/>
            <color indexed="81"/>
            <rFont val="Tahoma"/>
            <family val="2"/>
          </rPr>
          <t>michael.fleetwood:</t>
        </r>
        <r>
          <rPr>
            <sz val="8"/>
            <color indexed="81"/>
            <rFont val="Tahoma"/>
            <family val="2"/>
          </rPr>
          <t xml:space="preserve">
Blue indicates Entitlement Values to be measured against collected data</t>
        </r>
      </text>
    </comment>
    <comment ref="A84" authorId="2" shapeId="0" xr:uid="{00000000-0006-0000-0200-000004000000}">
      <text>
        <r>
          <rPr>
            <sz val="8"/>
            <color indexed="81"/>
            <rFont val="Tahoma"/>
            <family val="2"/>
          </rPr>
          <t>2 Standard Deviation based on performance Standard</t>
        </r>
      </text>
    </comment>
    <comment ref="A85" authorId="2" shapeId="0" xr:uid="{00000000-0006-0000-0200-000005000000}">
      <text>
        <r>
          <rPr>
            <sz val="8"/>
            <color indexed="81"/>
            <rFont val="Tahoma"/>
            <family val="2"/>
          </rPr>
          <t>1 Standard Deviation based on performance Standard</t>
        </r>
      </text>
    </comment>
    <comment ref="B99" authorId="0" shapeId="0" xr:uid="{00000000-0006-0000-0200-000006000000}">
      <text>
        <r>
          <rPr>
            <b/>
            <sz val="8"/>
            <color indexed="81"/>
            <rFont val="Tahoma"/>
            <family val="2"/>
          </rPr>
          <t>michael.fleetwood:</t>
        </r>
        <r>
          <rPr>
            <sz val="8"/>
            <color indexed="81"/>
            <rFont val="Tahoma"/>
            <family val="2"/>
          </rPr>
          <t xml:space="preserve">
Estimated Numbers</t>
        </r>
      </text>
    </comment>
    <comment ref="E117" authorId="3" shapeId="0" xr:uid="{00000000-0006-0000-0200-000007000000}">
      <text>
        <r>
          <rPr>
            <b/>
            <sz val="8"/>
            <color indexed="81"/>
            <rFont val="Tahoma"/>
            <family val="2"/>
          </rPr>
          <t>russell.w.scott:</t>
        </r>
        <r>
          <rPr>
            <sz val="8"/>
            <color indexed="81"/>
            <rFont val="Tahoma"/>
            <family val="2"/>
          </rPr>
          <t xml:space="preserve">
SFARP</t>
        </r>
      </text>
    </comment>
    <comment ref="J117" authorId="3" shapeId="0" xr:uid="{00000000-0006-0000-0200-000008000000}">
      <text>
        <r>
          <rPr>
            <b/>
            <sz val="8"/>
            <color indexed="81"/>
            <rFont val="Tahoma"/>
            <family val="2"/>
          </rPr>
          <t>russell.w.scott:</t>
        </r>
        <r>
          <rPr>
            <sz val="8"/>
            <color indexed="81"/>
            <rFont val="Tahoma"/>
            <family val="2"/>
          </rPr>
          <t xml:space="preserve">
TSTA/FEP</t>
        </r>
      </text>
    </comment>
    <comment ref="K117" authorId="3" shapeId="0" xr:uid="{00000000-0006-0000-0200-000009000000}">
      <text>
        <r>
          <rPr>
            <b/>
            <sz val="8"/>
            <color indexed="81"/>
            <rFont val="Tahoma"/>
            <family val="2"/>
          </rPr>
          <t>russell.w.scott:</t>
        </r>
        <r>
          <rPr>
            <sz val="8"/>
            <color indexed="81"/>
            <rFont val="Tahoma"/>
            <family val="2"/>
          </rPr>
          <t xml:space="preserve">
C2X/Fallon</t>
        </r>
      </text>
    </comment>
    <comment ref="L117" authorId="3" shapeId="0" xr:uid="{00000000-0006-0000-0200-00000A000000}">
      <text>
        <r>
          <rPr>
            <b/>
            <sz val="8"/>
            <color indexed="81"/>
            <rFont val="Tahoma"/>
            <family val="2"/>
          </rPr>
          <t>russell.w.scott:</t>
        </r>
        <r>
          <rPr>
            <sz val="8"/>
            <color indexed="81"/>
            <rFont val="Tahoma"/>
            <family val="2"/>
          </rPr>
          <t xml:space="preserve">
C2X/Fallon</t>
        </r>
      </text>
    </comment>
    <comment ref="M117" authorId="3" shapeId="0" xr:uid="{00000000-0006-0000-0200-00000B000000}">
      <text>
        <r>
          <rPr>
            <b/>
            <sz val="8"/>
            <color indexed="81"/>
            <rFont val="Tahoma"/>
            <family val="2"/>
          </rPr>
          <t>russell.w.scott:</t>
        </r>
        <r>
          <rPr>
            <sz val="8"/>
            <color indexed="81"/>
            <rFont val="Tahoma"/>
            <family val="2"/>
          </rPr>
          <t xml:space="preserve">
C2X/Fallon</t>
        </r>
      </text>
    </comment>
    <comment ref="P117" authorId="3" shapeId="0" xr:uid="{00000000-0006-0000-0200-00000C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3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300-000003000000}">
      <text>
        <r>
          <rPr>
            <sz val="8"/>
            <color indexed="81"/>
            <rFont val="Tahoma"/>
            <family val="2"/>
          </rPr>
          <t>2 Standard Deviation based on performance Standard</t>
        </r>
      </text>
    </comment>
    <comment ref="A85" authorId="2" shapeId="0" xr:uid="{00000000-0006-0000-0300-000004000000}">
      <text>
        <r>
          <rPr>
            <sz val="8"/>
            <color indexed="81"/>
            <rFont val="Tahoma"/>
            <family val="2"/>
          </rPr>
          <t>1 Standard Deviation based on performance Standard</t>
        </r>
      </text>
    </comment>
    <comment ref="B99" authorId="0" shapeId="0" xr:uid="{00000000-0006-0000-0300-000005000000}">
      <text>
        <r>
          <rPr>
            <b/>
            <sz val="8"/>
            <color indexed="81"/>
            <rFont val="Tahoma"/>
            <family val="2"/>
          </rPr>
          <t>michael.fleetwood:</t>
        </r>
        <r>
          <rPr>
            <sz val="8"/>
            <color indexed="81"/>
            <rFont val="Tahoma"/>
            <family val="2"/>
          </rPr>
          <t xml:space="preserve">
Estimated Numbers</t>
        </r>
      </text>
    </comment>
    <comment ref="E117" authorId="3" shapeId="0" xr:uid="{00000000-0006-0000-0300-000006000000}">
      <text>
        <r>
          <rPr>
            <b/>
            <sz val="8"/>
            <color indexed="81"/>
            <rFont val="Tahoma"/>
            <family val="2"/>
          </rPr>
          <t>russell.w.scott:</t>
        </r>
        <r>
          <rPr>
            <sz val="8"/>
            <color indexed="81"/>
            <rFont val="Tahoma"/>
            <family val="2"/>
          </rPr>
          <t xml:space="preserve">
SFARP</t>
        </r>
      </text>
    </comment>
    <comment ref="J117" authorId="3" shapeId="0" xr:uid="{00000000-0006-0000-0300-000007000000}">
      <text>
        <r>
          <rPr>
            <b/>
            <sz val="8"/>
            <color indexed="81"/>
            <rFont val="Tahoma"/>
            <family val="2"/>
          </rPr>
          <t>russell.w.scott:</t>
        </r>
        <r>
          <rPr>
            <sz val="8"/>
            <color indexed="81"/>
            <rFont val="Tahoma"/>
            <family val="2"/>
          </rPr>
          <t xml:space="preserve">
TSTA/FEP</t>
        </r>
      </text>
    </comment>
    <comment ref="K117" authorId="3" shapeId="0" xr:uid="{00000000-0006-0000-0300-000008000000}">
      <text>
        <r>
          <rPr>
            <b/>
            <sz val="8"/>
            <color indexed="81"/>
            <rFont val="Tahoma"/>
            <family val="2"/>
          </rPr>
          <t>russell.w.scott:</t>
        </r>
        <r>
          <rPr>
            <sz val="8"/>
            <color indexed="81"/>
            <rFont val="Tahoma"/>
            <family val="2"/>
          </rPr>
          <t xml:space="preserve">
C2X/Fallon</t>
        </r>
      </text>
    </comment>
    <comment ref="L117" authorId="3" shapeId="0" xr:uid="{00000000-0006-0000-0300-000009000000}">
      <text>
        <r>
          <rPr>
            <b/>
            <sz val="8"/>
            <color indexed="81"/>
            <rFont val="Tahoma"/>
            <family val="2"/>
          </rPr>
          <t>russell.w.scott:</t>
        </r>
        <r>
          <rPr>
            <sz val="8"/>
            <color indexed="81"/>
            <rFont val="Tahoma"/>
            <family val="2"/>
          </rPr>
          <t xml:space="preserve">
C2X/Fallon</t>
        </r>
      </text>
    </comment>
    <comment ref="M117" authorId="3" shapeId="0" xr:uid="{00000000-0006-0000-0300-00000A000000}">
      <text>
        <r>
          <rPr>
            <b/>
            <sz val="8"/>
            <color indexed="81"/>
            <rFont val="Tahoma"/>
            <family val="2"/>
          </rPr>
          <t>russell.w.scott:</t>
        </r>
        <r>
          <rPr>
            <sz val="8"/>
            <color indexed="81"/>
            <rFont val="Tahoma"/>
            <family val="2"/>
          </rPr>
          <t xml:space="preserve">
C2X/Fallon</t>
        </r>
      </text>
    </comment>
    <comment ref="P117" authorId="3" shapeId="0" xr:uid="{00000000-0006-0000-0300-00000B000000}">
      <text>
        <r>
          <rPr>
            <b/>
            <sz val="8"/>
            <color indexed="81"/>
            <rFont val="Tahoma"/>
            <family val="2"/>
          </rPr>
          <t>russell.w.scott:</t>
        </r>
        <r>
          <rPr>
            <sz val="8"/>
            <color indexed="81"/>
            <rFont val="Tahoma"/>
            <family val="2"/>
          </rPr>
          <t xml:space="preserve">
Pre-deployment at sea sustainment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4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400-000003000000}">
      <text>
        <r>
          <rPr>
            <sz val="8"/>
            <color indexed="81"/>
            <rFont val="Tahoma"/>
            <family val="2"/>
          </rPr>
          <t>2 Standard Deviation based on performance Standard</t>
        </r>
      </text>
    </comment>
    <comment ref="A85" authorId="2" shapeId="0" xr:uid="{00000000-0006-0000-0400-000004000000}">
      <text>
        <r>
          <rPr>
            <sz val="8"/>
            <color indexed="81"/>
            <rFont val="Tahoma"/>
            <family val="2"/>
          </rPr>
          <t>1 Standard Deviation based on performance Standard</t>
        </r>
      </text>
    </comment>
    <comment ref="B99" authorId="0" shapeId="0" xr:uid="{00000000-0006-0000-0400-000005000000}">
      <text>
        <r>
          <rPr>
            <b/>
            <sz val="8"/>
            <color indexed="81"/>
            <rFont val="Tahoma"/>
            <family val="2"/>
          </rPr>
          <t>michael.fleetwood:</t>
        </r>
        <r>
          <rPr>
            <sz val="8"/>
            <color indexed="81"/>
            <rFont val="Tahoma"/>
            <family val="2"/>
          </rPr>
          <t xml:space="preserve">
Estimated Numbers</t>
        </r>
      </text>
    </comment>
    <comment ref="E117" authorId="3" shapeId="0" xr:uid="{00000000-0006-0000-0400-000006000000}">
      <text>
        <r>
          <rPr>
            <b/>
            <sz val="8"/>
            <color indexed="81"/>
            <rFont val="Tahoma"/>
            <family val="2"/>
          </rPr>
          <t>russell.w.scott:</t>
        </r>
        <r>
          <rPr>
            <sz val="8"/>
            <color indexed="81"/>
            <rFont val="Tahoma"/>
            <family val="2"/>
          </rPr>
          <t xml:space="preserve">
SFARP</t>
        </r>
      </text>
    </comment>
    <comment ref="J117" authorId="3" shapeId="0" xr:uid="{00000000-0006-0000-0400-000007000000}">
      <text>
        <r>
          <rPr>
            <b/>
            <sz val="8"/>
            <color indexed="81"/>
            <rFont val="Tahoma"/>
            <family val="2"/>
          </rPr>
          <t>russell.w.scott:</t>
        </r>
        <r>
          <rPr>
            <sz val="8"/>
            <color indexed="81"/>
            <rFont val="Tahoma"/>
            <family val="2"/>
          </rPr>
          <t xml:space="preserve">
TSTA/FEP</t>
        </r>
      </text>
    </comment>
    <comment ref="K117" authorId="3" shapeId="0" xr:uid="{00000000-0006-0000-0400-000008000000}">
      <text>
        <r>
          <rPr>
            <b/>
            <sz val="8"/>
            <color indexed="81"/>
            <rFont val="Tahoma"/>
            <family val="2"/>
          </rPr>
          <t>russell.w.scott:</t>
        </r>
        <r>
          <rPr>
            <sz val="8"/>
            <color indexed="81"/>
            <rFont val="Tahoma"/>
            <family val="2"/>
          </rPr>
          <t xml:space="preserve">
C2X/Fallon</t>
        </r>
      </text>
    </comment>
    <comment ref="L117" authorId="3" shapeId="0" xr:uid="{00000000-0006-0000-0400-000009000000}">
      <text>
        <r>
          <rPr>
            <b/>
            <sz val="8"/>
            <color indexed="81"/>
            <rFont val="Tahoma"/>
            <family val="2"/>
          </rPr>
          <t>russell.w.scott:</t>
        </r>
        <r>
          <rPr>
            <sz val="8"/>
            <color indexed="81"/>
            <rFont val="Tahoma"/>
            <family val="2"/>
          </rPr>
          <t xml:space="preserve">
C2X/Fallon</t>
        </r>
      </text>
    </comment>
    <comment ref="M117" authorId="3" shapeId="0" xr:uid="{00000000-0006-0000-0400-00000A000000}">
      <text>
        <r>
          <rPr>
            <b/>
            <sz val="8"/>
            <color indexed="81"/>
            <rFont val="Tahoma"/>
            <family val="2"/>
          </rPr>
          <t>russell.w.scott:</t>
        </r>
        <r>
          <rPr>
            <sz val="8"/>
            <color indexed="81"/>
            <rFont val="Tahoma"/>
            <family val="2"/>
          </rPr>
          <t xml:space="preserve">
C2X/Fallon</t>
        </r>
      </text>
    </comment>
    <comment ref="P117" authorId="3" shapeId="0" xr:uid="{00000000-0006-0000-0400-00000B000000}">
      <text>
        <r>
          <rPr>
            <b/>
            <sz val="8"/>
            <color indexed="81"/>
            <rFont val="Tahoma"/>
            <family val="2"/>
          </rPr>
          <t>russell.w.scott:</t>
        </r>
        <r>
          <rPr>
            <sz val="8"/>
            <color indexed="81"/>
            <rFont val="Tahoma"/>
            <family val="2"/>
          </rPr>
          <t xml:space="preserve">
Pre-deployment at sea sustainment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5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
Note: 11 Plane E standard equal to 12 plane E, 11 Plane F standard equal to 10 plane</t>
        </r>
      </text>
    </comment>
    <comment ref="A84" authorId="2" shapeId="0" xr:uid="{00000000-0006-0000-0500-000003000000}">
      <text>
        <r>
          <rPr>
            <sz val="8"/>
            <color indexed="81"/>
            <rFont val="Tahoma"/>
            <family val="2"/>
          </rPr>
          <t>2 Standard Deviation based on performance Standard</t>
        </r>
      </text>
    </comment>
    <comment ref="A85" authorId="2" shapeId="0" xr:uid="{00000000-0006-0000-0500-000004000000}">
      <text>
        <r>
          <rPr>
            <sz val="8"/>
            <color indexed="81"/>
            <rFont val="Tahoma"/>
            <family val="2"/>
          </rPr>
          <t>1 Standard Deviation based on performance Standard</t>
        </r>
      </text>
    </comment>
    <comment ref="E117" authorId="3" shapeId="0" xr:uid="{00000000-0006-0000-0500-000005000000}">
      <text>
        <r>
          <rPr>
            <b/>
            <sz val="8"/>
            <color indexed="81"/>
            <rFont val="Tahoma"/>
            <family val="2"/>
          </rPr>
          <t>russell.w.scott:</t>
        </r>
        <r>
          <rPr>
            <sz val="8"/>
            <color indexed="81"/>
            <rFont val="Tahoma"/>
            <family val="2"/>
          </rPr>
          <t xml:space="preserve">
SFARP</t>
        </r>
      </text>
    </comment>
    <comment ref="J117" authorId="3" shapeId="0" xr:uid="{00000000-0006-0000-0500-000006000000}">
      <text>
        <r>
          <rPr>
            <b/>
            <sz val="8"/>
            <color indexed="81"/>
            <rFont val="Tahoma"/>
            <family val="2"/>
          </rPr>
          <t>russell.w.scott:</t>
        </r>
        <r>
          <rPr>
            <sz val="8"/>
            <color indexed="81"/>
            <rFont val="Tahoma"/>
            <family val="2"/>
          </rPr>
          <t xml:space="preserve">
TSTA/FEP</t>
        </r>
      </text>
    </comment>
    <comment ref="K117" authorId="3" shapeId="0" xr:uid="{00000000-0006-0000-0500-000007000000}">
      <text>
        <r>
          <rPr>
            <b/>
            <sz val="8"/>
            <color indexed="81"/>
            <rFont val="Tahoma"/>
            <family val="2"/>
          </rPr>
          <t>russell.w.scott:</t>
        </r>
        <r>
          <rPr>
            <sz val="8"/>
            <color indexed="81"/>
            <rFont val="Tahoma"/>
            <family val="2"/>
          </rPr>
          <t xml:space="preserve">
C2X/Fallon</t>
        </r>
      </text>
    </comment>
    <comment ref="L117" authorId="3" shapeId="0" xr:uid="{00000000-0006-0000-0500-000008000000}">
      <text>
        <r>
          <rPr>
            <b/>
            <sz val="8"/>
            <color indexed="81"/>
            <rFont val="Tahoma"/>
            <family val="2"/>
          </rPr>
          <t>russell.w.scott:</t>
        </r>
        <r>
          <rPr>
            <sz val="8"/>
            <color indexed="81"/>
            <rFont val="Tahoma"/>
            <family val="2"/>
          </rPr>
          <t xml:space="preserve">
C2X/Fallon</t>
        </r>
      </text>
    </comment>
    <comment ref="M117" authorId="3" shapeId="0" xr:uid="{00000000-0006-0000-0500-000009000000}">
      <text>
        <r>
          <rPr>
            <b/>
            <sz val="8"/>
            <color indexed="81"/>
            <rFont val="Tahoma"/>
            <family val="2"/>
          </rPr>
          <t>russell.w.scott:</t>
        </r>
        <r>
          <rPr>
            <sz val="8"/>
            <color indexed="81"/>
            <rFont val="Tahoma"/>
            <family val="2"/>
          </rPr>
          <t xml:space="preserve">
C2X/Fallon</t>
        </r>
      </text>
    </comment>
    <comment ref="P117" authorId="3" shapeId="0" xr:uid="{00000000-0006-0000-0500-00000A000000}">
      <text>
        <r>
          <rPr>
            <b/>
            <sz val="8"/>
            <color indexed="81"/>
            <rFont val="Tahoma"/>
            <family val="2"/>
          </rPr>
          <t>russell.w.scott:</t>
        </r>
        <r>
          <rPr>
            <sz val="8"/>
            <color indexed="81"/>
            <rFont val="Tahoma"/>
            <family val="2"/>
          </rPr>
          <t xml:space="preserve">
Pre-deployment at sea sustainment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6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6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
Note: 11 Plane E standard equal to 12 plane E, 11 Plane F standard equal to 10 plane</t>
        </r>
      </text>
    </comment>
    <comment ref="A84" authorId="2" shapeId="0" xr:uid="{00000000-0006-0000-0600-000003000000}">
      <text>
        <r>
          <rPr>
            <sz val="8"/>
            <color indexed="81"/>
            <rFont val="Tahoma"/>
            <family val="2"/>
          </rPr>
          <t>2 Standard Deviation based on performance Standard</t>
        </r>
      </text>
    </comment>
    <comment ref="A85" authorId="2" shapeId="0" xr:uid="{00000000-0006-0000-0600-000004000000}">
      <text>
        <r>
          <rPr>
            <sz val="8"/>
            <color indexed="81"/>
            <rFont val="Tahoma"/>
            <family val="2"/>
          </rPr>
          <t>1 Standard Deviation based on performance Standard</t>
        </r>
      </text>
    </comment>
    <comment ref="E117" authorId="3" shapeId="0" xr:uid="{00000000-0006-0000-0600-000005000000}">
      <text>
        <r>
          <rPr>
            <b/>
            <sz val="8"/>
            <color indexed="81"/>
            <rFont val="Tahoma"/>
            <family val="2"/>
          </rPr>
          <t>russell.w.scott:</t>
        </r>
        <r>
          <rPr>
            <sz val="8"/>
            <color indexed="81"/>
            <rFont val="Tahoma"/>
            <family val="2"/>
          </rPr>
          <t xml:space="preserve">
SFARP</t>
        </r>
      </text>
    </comment>
    <comment ref="J117" authorId="3" shapeId="0" xr:uid="{00000000-0006-0000-0600-000006000000}">
      <text>
        <r>
          <rPr>
            <b/>
            <sz val="8"/>
            <color indexed="81"/>
            <rFont val="Tahoma"/>
            <family val="2"/>
          </rPr>
          <t>russell.w.scott:</t>
        </r>
        <r>
          <rPr>
            <sz val="8"/>
            <color indexed="81"/>
            <rFont val="Tahoma"/>
            <family val="2"/>
          </rPr>
          <t xml:space="preserve">
TSTA/FEP</t>
        </r>
      </text>
    </comment>
    <comment ref="K117" authorId="3" shapeId="0" xr:uid="{00000000-0006-0000-0600-000007000000}">
      <text>
        <r>
          <rPr>
            <b/>
            <sz val="8"/>
            <color indexed="81"/>
            <rFont val="Tahoma"/>
            <family val="2"/>
          </rPr>
          <t>russell.w.scott:</t>
        </r>
        <r>
          <rPr>
            <sz val="8"/>
            <color indexed="81"/>
            <rFont val="Tahoma"/>
            <family val="2"/>
          </rPr>
          <t xml:space="preserve">
C2X/Fallon</t>
        </r>
      </text>
    </comment>
    <comment ref="L117" authorId="3" shapeId="0" xr:uid="{00000000-0006-0000-0600-000008000000}">
      <text>
        <r>
          <rPr>
            <b/>
            <sz val="8"/>
            <color indexed="81"/>
            <rFont val="Tahoma"/>
            <family val="2"/>
          </rPr>
          <t>russell.w.scott:</t>
        </r>
        <r>
          <rPr>
            <sz val="8"/>
            <color indexed="81"/>
            <rFont val="Tahoma"/>
            <family val="2"/>
          </rPr>
          <t xml:space="preserve">
C2X/Fallon</t>
        </r>
      </text>
    </comment>
    <comment ref="M117" authorId="3" shapeId="0" xr:uid="{00000000-0006-0000-0600-000009000000}">
      <text>
        <r>
          <rPr>
            <b/>
            <sz val="8"/>
            <color indexed="81"/>
            <rFont val="Tahoma"/>
            <family val="2"/>
          </rPr>
          <t>russell.w.scott:</t>
        </r>
        <r>
          <rPr>
            <sz val="8"/>
            <color indexed="81"/>
            <rFont val="Tahoma"/>
            <family val="2"/>
          </rPr>
          <t xml:space="preserve">
C2X/Fallon</t>
        </r>
      </text>
    </comment>
    <comment ref="P117" authorId="3" shapeId="0" xr:uid="{00000000-0006-0000-0600-00000A000000}">
      <text>
        <r>
          <rPr>
            <b/>
            <sz val="8"/>
            <color indexed="81"/>
            <rFont val="Tahoma"/>
            <family val="2"/>
          </rPr>
          <t>russell.w.scott:</t>
        </r>
        <r>
          <rPr>
            <sz val="8"/>
            <color indexed="81"/>
            <rFont val="Tahoma"/>
            <family val="2"/>
          </rPr>
          <t xml:space="preserve">
Pre-deployment at sea sustainment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7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84" authorId="1" shapeId="0" xr:uid="{00000000-0006-0000-0700-000002000000}">
      <text>
        <r>
          <rPr>
            <sz val="8"/>
            <color indexed="81"/>
            <rFont val="Tahoma"/>
            <family val="2"/>
          </rPr>
          <t>2 Standard Deviation based on performance Standard</t>
        </r>
      </text>
    </comment>
    <comment ref="A85" authorId="1" shapeId="0" xr:uid="{00000000-0006-0000-0700-000003000000}">
      <text>
        <r>
          <rPr>
            <sz val="8"/>
            <color indexed="81"/>
            <rFont val="Tahoma"/>
            <family val="2"/>
          </rPr>
          <t>1 Standard Deviation based on performance Standard</t>
        </r>
      </text>
    </comment>
    <comment ref="E117" authorId="2" shapeId="0" xr:uid="{00000000-0006-0000-0700-000004000000}">
      <text>
        <r>
          <rPr>
            <b/>
            <sz val="8"/>
            <color indexed="81"/>
            <rFont val="Tahoma"/>
            <family val="2"/>
          </rPr>
          <t>russell.w.scott:</t>
        </r>
        <r>
          <rPr>
            <sz val="8"/>
            <color indexed="81"/>
            <rFont val="Tahoma"/>
            <family val="2"/>
          </rPr>
          <t xml:space="preserve">
SFARP</t>
        </r>
      </text>
    </comment>
    <comment ref="J117" authorId="2" shapeId="0" xr:uid="{00000000-0006-0000-0700-000005000000}">
      <text>
        <r>
          <rPr>
            <b/>
            <sz val="8"/>
            <color indexed="81"/>
            <rFont val="Tahoma"/>
            <family val="2"/>
          </rPr>
          <t>russell.w.scott:</t>
        </r>
        <r>
          <rPr>
            <sz val="8"/>
            <color indexed="81"/>
            <rFont val="Tahoma"/>
            <family val="2"/>
          </rPr>
          <t xml:space="preserve">
TSTA/FEP</t>
        </r>
      </text>
    </comment>
    <comment ref="K117" authorId="2" shapeId="0" xr:uid="{00000000-0006-0000-0700-000006000000}">
      <text>
        <r>
          <rPr>
            <b/>
            <sz val="8"/>
            <color indexed="81"/>
            <rFont val="Tahoma"/>
            <family val="2"/>
          </rPr>
          <t>russell.w.scott:</t>
        </r>
        <r>
          <rPr>
            <sz val="8"/>
            <color indexed="81"/>
            <rFont val="Tahoma"/>
            <family val="2"/>
          </rPr>
          <t xml:space="preserve">
C2X/Fallon</t>
        </r>
      </text>
    </comment>
    <comment ref="L117" authorId="2" shapeId="0" xr:uid="{00000000-0006-0000-0700-000007000000}">
      <text>
        <r>
          <rPr>
            <b/>
            <sz val="8"/>
            <color indexed="81"/>
            <rFont val="Tahoma"/>
            <family val="2"/>
          </rPr>
          <t>russell.w.scott:</t>
        </r>
        <r>
          <rPr>
            <sz val="8"/>
            <color indexed="81"/>
            <rFont val="Tahoma"/>
            <family val="2"/>
          </rPr>
          <t xml:space="preserve">
C2X/Fallon</t>
        </r>
      </text>
    </comment>
    <comment ref="M117" authorId="2" shapeId="0" xr:uid="{00000000-0006-0000-0700-000008000000}">
      <text>
        <r>
          <rPr>
            <b/>
            <sz val="8"/>
            <color indexed="81"/>
            <rFont val="Tahoma"/>
            <family val="2"/>
          </rPr>
          <t>russell.w.scott:</t>
        </r>
        <r>
          <rPr>
            <sz val="8"/>
            <color indexed="81"/>
            <rFont val="Tahoma"/>
            <family val="2"/>
          </rPr>
          <t xml:space="preserve">
C2X/Fallon</t>
        </r>
      </text>
    </comment>
    <comment ref="P117" authorId="2" shapeId="0" xr:uid="{00000000-0006-0000-0700-000009000000}">
      <text>
        <r>
          <rPr>
            <b/>
            <sz val="8"/>
            <color indexed="81"/>
            <rFont val="Tahoma"/>
            <family val="2"/>
          </rPr>
          <t>russell.w.scott:</t>
        </r>
        <r>
          <rPr>
            <sz val="8"/>
            <color indexed="81"/>
            <rFont val="Tahoma"/>
            <family val="2"/>
          </rPr>
          <t xml:space="preserve">
Pre-deployment at sea sustainment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8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8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800-000003000000}">
      <text>
        <r>
          <rPr>
            <sz val="8"/>
            <color indexed="81"/>
            <rFont val="Tahoma"/>
            <family val="2"/>
          </rPr>
          <t>2 Standard Deviation based on performance Standard</t>
        </r>
      </text>
    </comment>
    <comment ref="A85" authorId="2" shapeId="0" xr:uid="{00000000-0006-0000-0800-000004000000}">
      <text>
        <r>
          <rPr>
            <sz val="8"/>
            <color indexed="81"/>
            <rFont val="Tahoma"/>
            <family val="2"/>
          </rPr>
          <t>1 Standard Deviation based on performance Standard</t>
        </r>
      </text>
    </comment>
    <comment ref="E117" authorId="3" shapeId="0" xr:uid="{00000000-0006-0000-0800-000005000000}">
      <text>
        <r>
          <rPr>
            <b/>
            <sz val="8"/>
            <color indexed="81"/>
            <rFont val="Tahoma"/>
            <family val="2"/>
          </rPr>
          <t>russell.w.scott:</t>
        </r>
        <r>
          <rPr>
            <sz val="8"/>
            <color indexed="81"/>
            <rFont val="Tahoma"/>
            <family val="2"/>
          </rPr>
          <t xml:space="preserve">
SFARP</t>
        </r>
      </text>
    </comment>
    <comment ref="J117" authorId="3" shapeId="0" xr:uid="{00000000-0006-0000-0800-000006000000}">
      <text>
        <r>
          <rPr>
            <b/>
            <sz val="8"/>
            <color indexed="81"/>
            <rFont val="Tahoma"/>
            <family val="2"/>
          </rPr>
          <t>russell.w.scott:</t>
        </r>
        <r>
          <rPr>
            <sz val="8"/>
            <color indexed="81"/>
            <rFont val="Tahoma"/>
            <family val="2"/>
          </rPr>
          <t xml:space="preserve">
TSTA/FEP</t>
        </r>
      </text>
    </comment>
    <comment ref="K117" authorId="3" shapeId="0" xr:uid="{00000000-0006-0000-0800-000007000000}">
      <text>
        <r>
          <rPr>
            <b/>
            <sz val="8"/>
            <color indexed="81"/>
            <rFont val="Tahoma"/>
            <family val="2"/>
          </rPr>
          <t>russell.w.scott:</t>
        </r>
        <r>
          <rPr>
            <sz val="8"/>
            <color indexed="81"/>
            <rFont val="Tahoma"/>
            <family val="2"/>
          </rPr>
          <t xml:space="preserve">
C2X/Fallon</t>
        </r>
      </text>
    </comment>
    <comment ref="L117" authorId="3" shapeId="0" xr:uid="{00000000-0006-0000-0800-000008000000}">
      <text>
        <r>
          <rPr>
            <b/>
            <sz val="8"/>
            <color indexed="81"/>
            <rFont val="Tahoma"/>
            <family val="2"/>
          </rPr>
          <t>russell.w.scott:</t>
        </r>
        <r>
          <rPr>
            <sz val="8"/>
            <color indexed="81"/>
            <rFont val="Tahoma"/>
            <family val="2"/>
          </rPr>
          <t xml:space="preserve">
C2X/Fallon</t>
        </r>
      </text>
    </comment>
    <comment ref="M117" authorId="3" shapeId="0" xr:uid="{00000000-0006-0000-0800-000009000000}">
      <text>
        <r>
          <rPr>
            <b/>
            <sz val="8"/>
            <color indexed="81"/>
            <rFont val="Tahoma"/>
            <family val="2"/>
          </rPr>
          <t>russell.w.scott:</t>
        </r>
        <r>
          <rPr>
            <sz val="8"/>
            <color indexed="81"/>
            <rFont val="Tahoma"/>
            <family val="2"/>
          </rPr>
          <t xml:space="preserve">
C2X/Fallon</t>
        </r>
      </text>
    </comment>
    <comment ref="P117" authorId="3" shapeId="0" xr:uid="{00000000-0006-0000-0800-00000A000000}">
      <text>
        <r>
          <rPr>
            <b/>
            <sz val="8"/>
            <color indexed="81"/>
            <rFont val="Tahoma"/>
            <family val="2"/>
          </rPr>
          <t>russell.w.scott:</t>
        </r>
        <r>
          <rPr>
            <sz val="8"/>
            <color indexed="81"/>
            <rFont val="Tahoma"/>
            <family val="2"/>
          </rPr>
          <t xml:space="preserve">
Pre-deployment at sea sustainment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9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9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900-000003000000}">
      <text>
        <r>
          <rPr>
            <sz val="8"/>
            <color indexed="81"/>
            <rFont val="Tahoma"/>
            <family val="2"/>
          </rPr>
          <t>2 Standard Deviation based on performance Standard</t>
        </r>
      </text>
    </comment>
    <comment ref="A85" authorId="2" shapeId="0" xr:uid="{00000000-0006-0000-0900-000004000000}">
      <text>
        <r>
          <rPr>
            <sz val="8"/>
            <color indexed="81"/>
            <rFont val="Tahoma"/>
            <family val="2"/>
          </rPr>
          <t>1 Standard Deviation based on performance Standard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A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A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A00-000003000000}">
      <text>
        <r>
          <rPr>
            <sz val="8"/>
            <color indexed="81"/>
            <rFont val="Tahoma"/>
            <family val="2"/>
          </rPr>
          <t>2 Standard Deviation based on performance Standard</t>
        </r>
      </text>
    </comment>
    <comment ref="A85" authorId="2" shapeId="0" xr:uid="{00000000-0006-0000-0A00-000004000000}">
      <text>
        <r>
          <rPr>
            <sz val="8"/>
            <color indexed="81"/>
            <rFont val="Tahoma"/>
            <family val="2"/>
          </rPr>
          <t>1 Standard Deviation based on performance Standard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B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B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84" authorId="2" shapeId="0" xr:uid="{00000000-0006-0000-0B00-000003000000}">
      <text>
        <r>
          <rPr>
            <sz val="8"/>
            <color indexed="81"/>
            <rFont val="Tahoma"/>
            <family val="2"/>
          </rPr>
          <t>2 Standard Deviation based on performance Standard</t>
        </r>
      </text>
    </comment>
    <comment ref="A85" authorId="2" shapeId="0" xr:uid="{00000000-0006-0000-0B00-000004000000}">
      <text>
        <r>
          <rPr>
            <sz val="8"/>
            <color indexed="81"/>
            <rFont val="Tahoma"/>
            <family val="2"/>
          </rPr>
          <t>1 Standard Deviation based on performance Standard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
  <commentList>
    <comment ref="B3" authorId="0" shapeId="0" xr:uid="{00000000-0006-0000-0C00-000001000000}">
      <text>
        <r>
          <rPr>
            <b/>
            <sz val="8"/>
            <color indexed="81"/>
            <rFont val="Tahoma"/>
            <family val="2"/>
          </rPr>
          <t>michael.fleetwood:</t>
        </r>
        <r>
          <rPr>
            <sz val="8"/>
            <color indexed="81"/>
            <rFont val="Tahoma"/>
            <family val="2"/>
          </rPr>
          <t xml:space="preserve">
APDF Version 136</t>
        </r>
      </text>
    </comment>
    <comment ref="B16" authorId="0" shapeId="0" xr:uid="{00000000-0006-0000-0C00-000002000000}">
      <text>
        <r>
          <rPr>
            <b/>
            <sz val="8"/>
            <color indexed="81"/>
            <rFont val="Tahoma"/>
            <family val="2"/>
          </rPr>
          <t>michael.fleetwood:</t>
        </r>
        <r>
          <rPr>
            <sz val="8"/>
            <color indexed="81"/>
            <rFont val="Tahoma"/>
            <family val="2"/>
          </rPr>
          <t xml:space="preserve">
FY-23 NAPP
</t>
        </r>
      </text>
    </comment>
    <comment ref="C16" authorId="0" shapeId="0" xr:uid="{00000000-0006-0000-0C00-000003000000}">
      <text>
        <r>
          <rPr>
            <b/>
            <sz val="8"/>
            <color indexed="81"/>
            <rFont val="Tahoma"/>
            <family val="2"/>
          </rPr>
          <t>michael.fleetwood:</t>
        </r>
        <r>
          <rPr>
            <sz val="8"/>
            <color indexed="81"/>
            <rFont val="Tahoma"/>
            <family val="2"/>
          </rPr>
          <t xml:space="preserve">
FY-23 NAPP</t>
        </r>
      </text>
    </comment>
    <comment ref="A31" authorId="1" shapeId="0" xr:uid="{00000000-0006-0000-0C00-000004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
  <commentList>
    <comment ref="B3" authorId="0" shapeId="0" xr:uid="{00000000-0006-0000-0D00-000001000000}">
      <text>
        <r>
          <rPr>
            <b/>
            <sz val="8"/>
            <color indexed="81"/>
            <rFont val="Tahoma"/>
            <family val="2"/>
          </rPr>
          <t>michael.fleetwood:</t>
        </r>
        <r>
          <rPr>
            <sz val="8"/>
            <color indexed="81"/>
            <rFont val="Tahoma"/>
            <family val="2"/>
          </rPr>
          <t xml:space="preserve">
APDF Version 136</t>
        </r>
      </text>
    </comment>
    <comment ref="B16" authorId="0" shapeId="0" xr:uid="{00000000-0006-0000-0D00-000002000000}">
      <text>
        <r>
          <rPr>
            <b/>
            <sz val="8"/>
            <color indexed="81"/>
            <rFont val="Tahoma"/>
            <family val="2"/>
          </rPr>
          <t>michael.fleetwood:</t>
        </r>
        <r>
          <rPr>
            <sz val="8"/>
            <color indexed="81"/>
            <rFont val="Tahoma"/>
            <family val="2"/>
          </rPr>
          <t xml:space="preserve">
FY-23 NAPP</t>
        </r>
      </text>
    </comment>
    <comment ref="C16" authorId="0" shapeId="0" xr:uid="{00000000-0006-0000-0D00-000003000000}">
      <text>
        <r>
          <rPr>
            <b/>
            <sz val="8"/>
            <color indexed="81"/>
            <rFont val="Tahoma"/>
            <family val="2"/>
          </rPr>
          <t>michael.fleetwood:</t>
        </r>
        <r>
          <rPr>
            <sz val="8"/>
            <color indexed="81"/>
            <rFont val="Tahoma"/>
            <family val="2"/>
          </rPr>
          <t xml:space="preserve">
FY-23 NAPP</t>
        </r>
      </text>
    </comment>
    <comment ref="A31" authorId="1" shapeId="0" xr:uid="{00000000-0006-0000-0D00-000004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List>
</comments>
</file>

<file path=xl/sharedStrings.xml><?xml version="1.0" encoding="utf-8"?>
<sst xmlns="http://schemas.openxmlformats.org/spreadsheetml/2006/main" count="2487" uniqueCount="274">
  <si>
    <t>Standard Name</t>
  </si>
  <si>
    <t>ID</t>
  </si>
  <si>
    <t>Rev</t>
  </si>
  <si>
    <t>AMFOM</t>
  </si>
  <si>
    <t>Deleted</t>
  </si>
  <si>
    <t>Readiness Standards VFA F-18(F) 11 Plane 6 ARS/No SHARP</t>
  </si>
  <si>
    <t>Readiness Standards VFA F-18(F) 11 Plane 5 ARS/No SHARP</t>
  </si>
  <si>
    <t>Readiness Standards VFA F-18(F) 11 Plane 4 ARS/No SHARP</t>
  </si>
  <si>
    <t>Note:  'NEW' Standards are less than 90 Days old</t>
  </si>
  <si>
    <t>Date</t>
  </si>
  <si>
    <t>Standard</t>
  </si>
  <si>
    <t>Change Summary</t>
  </si>
  <si>
    <t>All</t>
  </si>
  <si>
    <t>Initial DRRS-N Based Standards</t>
  </si>
  <si>
    <t>All Non-FDNF Standard</t>
  </si>
  <si>
    <t>Updated Training Readiness Profiles</t>
  </si>
  <si>
    <t>Added Simulator Support Hours / Re-added Required and Skilled Crews rows</t>
  </si>
  <si>
    <t>Updated Aircrew and Manning naming convetions to match 3 Apr 2013 T&amp;R</t>
  </si>
  <si>
    <t>Updated ATR calculation method in "Range of Performance Values" section</t>
  </si>
  <si>
    <t>Changed POM and PDL RBA and Mission System requirements to match a typical Sustain month per Air Boss Direction</t>
  </si>
  <si>
    <t>Removed 'SHARP' Pods from all standards.  Deleted the 'No SHARP' Pod Standards</t>
  </si>
  <si>
    <t>VFA (10F) (6 ARS) (FRS) DRRS</t>
  </si>
  <si>
    <t>Added FRS Standards for FA-18F</t>
  </si>
  <si>
    <t>Removed RBA/RFT and associated logic - Set Flightline % = 100%, MC % = 80%</t>
  </si>
  <si>
    <t>Added EOC L code: Ready IMC Flight Mission Systems (L), set equal to MC %</t>
  </si>
  <si>
    <t>VFA (12E 17 Crew 6 ARS) (FRS)</t>
  </si>
  <si>
    <t>FRS Standards moved to unique tab in VFA FA-18F Readiness Standards Encl (10)</t>
  </si>
  <si>
    <t>Added Squadron Manning standards: Rating Fit/Fill, NEC Fit, and MPR</t>
  </si>
  <si>
    <t>All AMFOM</t>
  </si>
  <si>
    <t>Updated AMFOM Standards to remove RBA and replace with MC and added EOC (L)</t>
  </si>
  <si>
    <t>Updated Mission Systems across all Standards and reference tables</t>
  </si>
  <si>
    <t>All CVW (not FDNF)</t>
  </si>
  <si>
    <t>Changed R+10 to Adanced Phase</t>
  </si>
  <si>
    <t>CVW FDNF (All)</t>
  </si>
  <si>
    <t>Updated R+10-12 to 'Sustain'</t>
  </si>
  <si>
    <t>Updated to include FMC and Mission System values from ARC-N</t>
  </si>
  <si>
    <t>Updated 100% T&amp;R and Sim Fidelity</t>
  </si>
  <si>
    <t>Readiness Standards VFA FA-18 Test and Other</t>
  </si>
  <si>
    <t>New Standard</t>
  </si>
  <si>
    <t>Readiness Standards VFA F-18(F) 10 Plane 6 ARS</t>
  </si>
  <si>
    <t>Inventory</t>
  </si>
  <si>
    <t>Rev:</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</si>
  <si>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</si>
  <si>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</si>
  <si>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</si>
  <si>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</si>
  <si>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</si>
  <si>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</si>
  <si>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</si>
  <si>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</si>
  <si>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</si>
  <si>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</si>
  <si>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</si>
  <si>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</si>
  <si>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</si>
  <si>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</si>
  <si>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</si>
  <si>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</si>
  <si>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</si>
  <si>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Advanced</t>
  </si>
  <si>
    <t>Integrated</t>
  </si>
  <si>
    <t xml:space="preserve">Sustain </t>
  </si>
  <si>
    <t>Deploy</t>
  </si>
  <si>
    <t>Tactical Hard Deck</t>
  </si>
  <si>
    <t>R+Month</t>
  </si>
  <si>
    <t>R+1</t>
  </si>
  <si>
    <t>R+2</t>
  </si>
  <si>
    <t>R+3</t>
  </si>
  <si>
    <t>R+4</t>
  </si>
  <si>
    <t xml:space="preserve">R+5 </t>
  </si>
  <si>
    <t xml:space="preserve">R+6 </t>
  </si>
  <si>
    <t xml:space="preserve">R+7 </t>
  </si>
  <si>
    <t xml:space="preserve">R+8 </t>
  </si>
  <si>
    <t xml:space="preserve">R+9 </t>
  </si>
  <si>
    <t xml:space="preserve">R+10 </t>
  </si>
  <si>
    <t>R+11</t>
  </si>
  <si>
    <t xml:space="preserve">R+12 </t>
  </si>
  <si>
    <t>R+13</t>
  </si>
  <si>
    <t>R+14</t>
  </si>
  <si>
    <t>R+15</t>
  </si>
  <si>
    <t>POM</t>
  </si>
  <si>
    <t>D+1</t>
  </si>
  <si>
    <t>D+2</t>
  </si>
  <si>
    <t>D+3</t>
  </si>
  <si>
    <t>D+4</t>
  </si>
  <si>
    <t>D+5</t>
  </si>
  <si>
    <t>D+6</t>
  </si>
  <si>
    <t>PDL</t>
  </si>
  <si>
    <t>R+24</t>
  </si>
  <si>
    <t>R+25</t>
  </si>
  <si>
    <t>R+26</t>
  </si>
  <si>
    <t>R+27</t>
  </si>
  <si>
    <t>R+28</t>
  </si>
  <si>
    <t>FRTP</t>
  </si>
  <si>
    <t>Mission</t>
  </si>
  <si>
    <t>ULT &amp; Depot Mx</t>
  </si>
  <si>
    <t>ARP to TSTA III</t>
  </si>
  <si>
    <t>C2X to FLN</t>
  </si>
  <si>
    <t>Deployment</t>
  </si>
  <si>
    <t>Sustain</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</si>
  <si>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</si>
  <si>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</si>
  <si>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</si>
  <si>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</si>
  <si>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</si>
  <si>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</si>
  <si>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</si>
  <si>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</si>
  <si>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</si>
  <si>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</si>
  <si>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</si>
  <si>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</si>
  <si>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</si>
  <si>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</si>
  <si>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</si>
  <si>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</si>
  <si>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</si>
  <si>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</si>
  <si>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</si>
  <si>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</si>
  <si>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</si>
  <si>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</si>
  <si>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Integrated Mission Systems</t>
  </si>
  <si>
    <t>Ready Advance Threat Warning Mission System (C)</t>
  </si>
  <si>
    <t>Ready HARM Support Mission System (D)</t>
  </si>
  <si>
    <t>Ready Missile Launch Mission System (E)</t>
  </si>
  <si>
    <t>Ready Survivablity Mission System (F)</t>
  </si>
  <si>
    <t>Ready Leathality Mission System (G)</t>
  </si>
  <si>
    <t>Ready Combat Communications Mission System (H)</t>
  </si>
  <si>
    <t>Ready Air to Air Refueling Mission Systems (I)</t>
  </si>
  <si>
    <t>Ready Tactical Navigation Mission Systems (J)</t>
  </si>
  <si>
    <t>Ready Shipboard Mission Systems (K)</t>
  </si>
  <si>
    <t>Ready IMC Flight Mission Systems (L)</t>
  </si>
  <si>
    <t>Non-Integrated Mission Systems</t>
  </si>
  <si>
    <t>Assigned ATFLIR Sets</t>
  </si>
  <si>
    <t>Ready ATFLIR Sets</t>
  </si>
  <si>
    <t>Assigned ARS Sets</t>
  </si>
  <si>
    <t>Ready ARS Sets</t>
  </si>
  <si>
    <t>Aircrew Manning and Crews</t>
  </si>
  <si>
    <t>Pilot Upper Limit</t>
  </si>
  <si>
    <t>Pilot Lower Limit</t>
  </si>
  <si>
    <t>NFO Upper Limit</t>
  </si>
  <si>
    <t>NFO Lower Limit</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</si>
  <si>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</si>
  <si>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</si>
  <si>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</si>
  <si>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</si>
  <si>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</si>
  <si>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</si>
  <si>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</si>
  <si>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</si>
  <si>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Green Threshold</t>
  </si>
  <si>
    <t>Yellow Threshold</t>
  </si>
  <si>
    <t>Ef Crew Expectation Profile</t>
  </si>
  <si>
    <t>U/L CL Max:</t>
  </si>
  <si>
    <t>U/L CL Min:</t>
  </si>
  <si>
    <t>CBM Matrix Ef Values - Do Not Modify</t>
  </si>
  <si>
    <t>Trained Manpower and Crews</t>
  </si>
  <si>
    <t>&gt; L4 Pilots</t>
  </si>
  <si>
    <t>&gt; L3 Pilots</t>
  </si>
  <si>
    <t>&gt; L2 Pilots</t>
  </si>
  <si>
    <t>&gt; L1 Pilots</t>
  </si>
  <si>
    <t>&gt; L4 WSO</t>
  </si>
  <si>
    <t>&gt; L3 WSO</t>
  </si>
  <si>
    <t>&gt; L2 WSO</t>
  </si>
  <si>
    <t>&gt; L1 WSO</t>
  </si>
  <si>
    <t>NVG Qual - Pilot</t>
  </si>
  <si>
    <t>NVG Qual - WSO</t>
  </si>
  <si>
    <t>JHMCS Qual - Pilot</t>
  </si>
  <si>
    <t>JMPS SME</t>
  </si>
  <si>
    <t xml:space="preserve">CVW STK LEAD </t>
  </si>
  <si>
    <t>FAC(A) - Pilot</t>
  </si>
  <si>
    <t>FAC(A) - WSO</t>
  </si>
  <si>
    <t>Required Skilled Crews</t>
  </si>
  <si>
    <t>Monthly Variable Hours Assignments</t>
  </si>
  <si>
    <t>Simulator Replacement Month</t>
  </si>
  <si>
    <t>X</t>
  </si>
  <si>
    <t>Afloat Support Hours Assignment</t>
  </si>
  <si>
    <t>DRRS-N E-Pillar Break Points</t>
  </si>
  <si>
    <t>Green</t>
  </si>
  <si>
    <t>Yellow</t>
  </si>
  <si>
    <t>Red</t>
  </si>
  <si>
    <t>Top</t>
  </si>
  <si>
    <t>Aircraft</t>
  </si>
  <si>
    <t>In Reporting</t>
  </si>
  <si>
    <t>Mission Capable Aircraft (MC)</t>
  </si>
  <si>
    <t>Assigned ARS PODs</t>
  </si>
  <si>
    <t>Ready ARS PODs</t>
  </si>
  <si>
    <t>FMC and Mission System Utilization Rates</t>
  </si>
  <si>
    <t>FA-18F 10PAA AR v220921</t>
  </si>
  <si>
    <t>FMC % of MC</t>
  </si>
  <si>
    <t>Readiness Standards VFA F-18(F) 10 Plane 4 ARS</t>
  </si>
  <si>
    <t>Readiness Standards VFA F-18(F) 10 Plane No ARS</t>
  </si>
  <si>
    <t>N/A</t>
  </si>
  <si>
    <t>Readiness Standards VFA F-18(F) 11 Plane 6 ARS</t>
  </si>
  <si>
    <t>Readiness Standards VFA F-18(F) 11 Plane 5 ARS</t>
  </si>
  <si>
    <t>Readiness Standards VFA F-18(F) 11 Plane 4 ARS</t>
  </si>
  <si>
    <t>Readiness Standards VFA F-18(F) 12 Plane 6 ARS</t>
  </si>
  <si>
    <t>FA-18F 12PAA AR v220921</t>
  </si>
  <si>
    <t>Readiness Standards VFA F-18(F) 12 Plane FDNF No ARS</t>
  </si>
  <si>
    <t>R+5</t>
  </si>
  <si>
    <t>R+9</t>
  </si>
  <si>
    <t>R+10</t>
  </si>
  <si>
    <t>R+12</t>
  </si>
  <si>
    <t>ULT &amp; Maint</t>
  </si>
  <si>
    <t>Readiness Standards VFA F-18(F) 12 Plane FDNF 4 ARS</t>
  </si>
  <si>
    <t>Readiness Standards VFA F-18(F) 12 Plane FDNF 6 ARS</t>
  </si>
  <si>
    <t>Readiness Standards VFA FA-18 E-F VFA-106 FRS</t>
  </si>
  <si>
    <t>FA-18E</t>
  </si>
  <si>
    <t>FA-18F</t>
  </si>
  <si>
    <t>VFA-106 PAA =</t>
  </si>
  <si>
    <t>FRS</t>
  </si>
  <si>
    <t>A-1</t>
  </si>
  <si>
    <t>A-2</t>
  </si>
  <si>
    <t>NA</t>
  </si>
  <si>
    <t>Set equal to FMC</t>
  </si>
  <si>
    <t>Readiness Standards VFA FA-18 E-F VFA-122 FRS</t>
  </si>
  <si>
    <t>VFA-122 PAA =</t>
  </si>
  <si>
    <t>VFA-122</t>
  </si>
  <si>
    <t>PAA</t>
  </si>
  <si>
    <t>Unit</t>
  </si>
  <si>
    <t>FA-18C</t>
  </si>
  <si>
    <t>FA-18D</t>
  </si>
  <si>
    <t>VX-9</t>
  </si>
  <si>
    <t>VX-23</t>
  </si>
  <si>
    <t>VX-31</t>
  </si>
  <si>
    <t>NFDS</t>
  </si>
  <si>
    <t>TEST</t>
  </si>
  <si>
    <t>Other</t>
  </si>
  <si>
    <t>A+1</t>
  </si>
  <si>
    <t>A+2</t>
  </si>
  <si>
    <t>A+3</t>
  </si>
  <si>
    <t>TMS</t>
  </si>
  <si>
    <t>Mission Systems</t>
  </si>
  <si>
    <t>F/A-18F VFA TMS Reduced MET to Mission System Map</t>
  </si>
  <si>
    <t>MISSION ESSENTIAL TASKS</t>
  </si>
  <si>
    <t>NTA 1.1.2.3.3</t>
  </si>
  <si>
    <t>Conduct Flight Operations</t>
  </si>
  <si>
    <t>NTA 3.2.1.1</t>
  </si>
  <si>
    <t>Attack Surface Targets</t>
  </si>
  <si>
    <t>NTA 3.2.2</t>
  </si>
  <si>
    <t>Attack Enemy Land Targets</t>
  </si>
  <si>
    <t>NTA 3.2.3</t>
  </si>
  <si>
    <t>Attack Enemy Aircraft and Missiles (Offensive Counter Air)</t>
  </si>
  <si>
    <t>NTA 3.2.4</t>
  </si>
  <si>
    <t>Suppress Enemy Air Defenses (SEAD)</t>
  </si>
  <si>
    <t>NTA 3.2.5</t>
  </si>
  <si>
    <t>Conduct Electronic Attack</t>
  </si>
  <si>
    <t>NTA 3.2.6</t>
  </si>
  <si>
    <t>Interdict Enemy Operational Forces and Targets</t>
  </si>
  <si>
    <t>NTA 3.2.7</t>
  </si>
  <si>
    <t>Intercept, Engage, Neutralize Enemy Aircraft and Missiles (Defensive Counter Air)</t>
  </si>
  <si>
    <t>NTA 3.2.8.1</t>
  </si>
  <si>
    <t>Organize Fire Support Assets</t>
  </si>
  <si>
    <t>NTA 4.2.1.2</t>
  </si>
  <si>
    <t>Conduct Aerial Refueling</t>
  </si>
  <si>
    <t>NTA 6.2</t>
  </si>
  <si>
    <t>Rescue and Recover</t>
  </si>
  <si>
    <t>FA-18E-F Mission System Utilization per Flight Task</t>
  </si>
  <si>
    <t>FA-18E 10PAA AR v220921</t>
  </si>
  <si>
    <t>FA-18E 10PAA NON-AR v220921</t>
  </si>
  <si>
    <t>FA-18E 12PAA AR v220921</t>
  </si>
  <si>
    <t>Ready FA-18 E-F Advanced Threat Warning Mission Systems (C)</t>
  </si>
  <si>
    <t>Ready FA-18 E-F HARM Support Mission Systems (D)</t>
  </si>
  <si>
    <t>Ready FA-18 E-F Missile Launch Mission Systems (E)</t>
  </si>
  <si>
    <t>Ready FA-18 E-F Survivability Mission Systems (F)</t>
  </si>
  <si>
    <t>Ready FA-18 E-F Lethality Mission Systems (G)</t>
  </si>
  <si>
    <t>Ready FA-18 E-F Combat Communications Mission Systems (H)</t>
  </si>
  <si>
    <t>Ready FA-18 E-F Air to Air Refueling Mission Systems (I)*</t>
  </si>
  <si>
    <t>Ready FA-18 E-F Tactical Navigation Mission Systems (J)</t>
  </si>
  <si>
    <t>Ready FA-18 E-F Shipboard Mission Systems (K)</t>
  </si>
  <si>
    <t>Ready FA-18 E-F IMC Flight Mission Systems (L)</t>
  </si>
  <si>
    <t>* 10 Non AR assumes usage of organic refueling system (receive)</t>
  </si>
  <si>
    <t>Tab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</si>
</sst>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409]d\-mmm\-yy;@"/>
    <numFmt numFmtId="167" formatCode="0.0%"/>
  </numFmts>
  <fonts count="50"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10"/>
      <name val="Arial"/>
      <family val="2"/>
    </font>
    <font>
      <b/>
      <sz val="14"/>
      <name val="Calibri"/>
      <family val="2"/>
      <scheme val="minor"/>
    </font>
    <font>
      <sz val="14"/>
      <name val="Calibri"/>
      <family val="2"/>
      <scheme val="minor"/>
    </font>
    <font>
      <sz val="8"/>
      <name val="Calibri"/>
      <family val="2"/>
      <scheme val="minor"/>
    </font>
    <font>
      <sz val="9"/>
      <name val="Calibri"/>
      <family val="2"/>
      <scheme val="minor"/>
    </font>
    <font>
      <b/>
      <i/>
      <sz val="10"/>
      <name val="Calibri"/>
      <family val="2"/>
      <scheme val="minor"/>
    </font>
    <font>
      <sz val="9"/>
      <color indexed="10"/>
      <name val="Calibri"/>
      <family val="2"/>
      <scheme val="minor"/>
    </font>
    <font>
      <sz val="9"/>
      <color indexed="8"/>
      <name val="Calibri"/>
      <family val="2"/>
      <scheme val="minor"/>
    </font>
    <font>
      <b/>
      <i/>
      <sz val="9"/>
      <name val="Calibri"/>
      <family val="2"/>
      <scheme val="minor"/>
    </font>
    <font>
      <b/>
      <sz val="9"/>
      <name val="Calibri"/>
      <family val="2"/>
      <scheme val="minor"/>
    </font>
    <font>
      <b/>
      <sz val="8"/>
      <color indexed="12"/>
      <name val="Calibri"/>
      <family val="2"/>
      <scheme val="minor"/>
    </font>
    <font>
      <u/>
      <sz val="10"/>
      <color theme="10"/>
      <name val="Arial"/>
      <family val="2"/>
    </font>
    <font>
      <sz val="11"/>
      <name val="Calibri"/>
      <family val="2"/>
      <scheme val="minor"/>
    </font>
    <font>
      <b/>
      <i/>
      <sz val="11"/>
      <color rgb="FF00CC00"/>
      <name val="Calibri"/>
      <family val="2"/>
      <scheme val="minor"/>
    </font>
    <font>
      <b/>
      <i/>
      <sz val="11"/>
      <color theme="1"/>
      <name val="Calibri"/>
      <family val="2"/>
      <scheme val="minor"/>
    </font>
    <font>
      <b/>
      <i/>
      <sz val="11"/>
      <name val="Calibri"/>
      <family val="2"/>
      <scheme val="minor"/>
    </font>
    <font>
      <u/>
      <sz val="10"/>
      <color theme="10"/>
      <name val="Calibri"/>
      <family val="2"/>
      <scheme val="minor"/>
    </font>
    <font>
      <b/>
      <sz val="11"/>
      <name val="Calibri"/>
      <family val="2"/>
      <scheme val="minor"/>
    </font>
    <font>
      <sz val="9"/>
      <color theme="1"/>
      <name val="Calibri"/>
      <family val="2"/>
      <scheme val="minor"/>
    </font>
    <font>
      <sz val="10"/>
      <name val="Calibri"/>
      <family val="2"/>
      <scheme val="minor"/>
    </font>
    <font>
      <b/>
      <sz val="12"/>
      <name val="Arial"/>
      <family val="2"/>
    </font>
    <font>
      <b/>
      <sz val="8"/>
      <name val="Arial"/>
      <family val="2"/>
    </font>
    <font>
      <sz val="8"/>
      <name val="Tahoma"/>
      <family val="2"/>
    </font>
    <font>
      <b/>
      <sz val="9"/>
      <color indexed="81"/>
      <name val="Tahoma"/>
      <family val="2"/>
    </font>
    <font>
      <sz val="9"/>
      <color indexed="81"/>
      <name val="Tahoma"/>
      <family val="2"/>
    </font>
    <font>
      <sz val="12"/>
      <name val="Calibri"/>
      <family val="2"/>
      <scheme val="minor"/>
    </font>
    <font>
      <b/>
      <sz val="12"/>
      <name val="Calibri"/>
      <family val="2"/>
      <scheme val="minor"/>
    </font>
    <font>
      <b/>
      <sz val="8"/>
      <name val="Calibri"/>
      <family val="2"/>
      <scheme val="minor"/>
    </font>
    <font>
      <b/>
      <sz val="10"/>
      <name val="Calibri"/>
      <family val="2"/>
      <scheme val="minor"/>
    </font>
    <font>
      <sz val="11"/>
      <color theme="1"/>
      <name val="Calibri"/>
      <family val="2"/>
      <scheme val="minor"/>
    </font>
    <font>
      <b/>
      <sz val="8"/>
      <color indexed="55"/>
      <name val="Calibri"/>
      <family val="2"/>
      <scheme val="minor"/>
    </font>
    <font>
      <sz val="8"/>
      <color indexed="55"/>
      <name val="Calibri"/>
      <family val="2"/>
      <scheme val="minor"/>
    </font>
    <font>
      <u/>
      <sz val="11"/>
      <color theme="10"/>
      <name val="Calibri"/>
      <family val="2"/>
    </font>
    <font>
      <u/>
      <sz val="11"/>
      <color theme="10"/>
      <name val="Calibri"/>
      <family val="2"/>
      <scheme val="minor"/>
    </font>
    <font>
      <b/>
      <sz val="12"/>
      <color theme="1"/>
      <name val="Calibri"/>
      <family val="2"/>
      <scheme val="minor"/>
    </font>
    <font>
      <sz val="10"/>
      <color rgb="FF0A0101"/>
      <name val="Calibri"/>
      <family val="2"/>
      <scheme val="minor"/>
    </font>
    <font>
      <sz val="8"/>
      <name val="Calibri"/>
      <family val="2"/>
    </font>
    <font>
      <u/>
      <sz val="9"/>
      <color theme="10"/>
      <name val="Calibri"/>
      <family val="2"/>
      <scheme val="minor"/>
    </font>
    <font>
      <b/>
      <sz val="14"/>
      <name val="Arial"/>
      <family val="2"/>
    </font>
    <font>
      <b/>
      <sz val="10"/>
      <color theme="1"/>
      <name val="Arial"/>
      <family val="2"/>
    </font>
    <font>
      <b/>
      <sz val="11"/>
      <name val="Arial"/>
      <family val="2"/>
    </font>
    <font>
      <b/>
      <sz val="10"/>
      <color indexed="8"/>
      <name val="Arial"/>
      <family val="2"/>
    </font>
    <font>
      <b/>
      <sz val="10"/>
      <name val="Arial"/>
      <family val="2"/>
    </font>
  </fonts>
  <fills count="1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rgb="FF00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43" fontId="3"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3" fillId="2" borderId="1">
      <alignment horizontal="center" textRotation="90"/>
    </xf>
    <xf numFmtId="0" fontId="3" fillId="0" borderId="0">
      <alignment textRotation="90"/>
    </xf>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40" fillId="0" borderId="0" applyNumberFormat="0" applyFill="0" applyBorder="0" applyAlignment="0" applyProtection="0">
      <alignment vertical="top"/>
      <protection locked="0"/>
    </xf>
    <xf numFmtId="0" fontId="3" fillId="0" borderId="0"/>
    <xf numFmtId="0" fontId="3" fillId="0" borderId="0"/>
    <xf numFmtId="0" fontId="3" fillId="0" borderId="0"/>
    <xf numFmtId="0" fontId="18" fillId="0" borderId="0" applyNumberFormat="0" applyFill="0" applyBorder="0" applyAlignment="0" applyProtection="0">
      <alignment vertical="top"/>
      <protection locked="0"/>
    </xf>
    <xf numFmtId="0" fontId="36" fillId="0" borderId="0"/>
    <xf numFmtId="0" fontId="39" fillId="0" borderId="0" applyNumberFormat="0" applyFill="0" applyBorder="0" applyAlignment="0" applyProtection="0">
      <alignment vertical="top"/>
      <protection locked="0"/>
    </xf>
    <xf numFmtId="0" fontId="3" fillId="0" borderId="0"/>
    <xf numFmtId="0" fontId="2" fillId="0" borderId="0"/>
    <xf numFmtId="0" fontId="1" fillId="0" borderId="0"/>
    <xf numFmtId="0" fontId="18" fillId="0" borderId="0" applyNumberFormat="0" applyFill="0" applyBorder="0" applyAlignment="0" applyProtection="0">
      <alignment vertical="top"/>
      <protection locked="0"/>
    </xf>
  </cellStyleXfs>
  <cellXfs count="470">
    <xf numFmtId="0" fontId="0" fillId="0" borderId="0" xfId="0"/>
    <xf numFmtId="0" fontId="9" fillId="3" borderId="0" xfId="9" applyFont="1" applyFill="1" applyAlignment="1">
      <alignment horizontal="center"/>
    </xf>
    <xf numFmtId="0" fontId="10" fillId="3" borderId="0" xfId="9" applyFont="1" applyFill="1" applyAlignment="1">
      <alignment horizontal="right"/>
    </xf>
    <xf numFmtId="164" fontId="10" fillId="3" borderId="0" xfId="9" applyNumberFormat="1" applyFont="1" applyFill="1"/>
    <xf numFmtId="0" fontId="10" fillId="3" borderId="0" xfId="9" applyFont="1" applyFill="1"/>
    <xf numFmtId="164" fontId="10" fillId="0" borderId="0" xfId="9" applyNumberFormat="1" applyFont="1" applyFill="1"/>
    <xf numFmtId="0" fontId="10" fillId="3" borderId="0" xfId="9" quotePrefix="1" applyFont="1" applyFill="1" applyAlignment="1">
      <alignment horizontal="right"/>
    </xf>
    <xf numFmtId="9" fontId="10" fillId="0" borderId="0" xfId="9" applyNumberFormat="1" applyFont="1" applyFill="1"/>
    <xf numFmtId="0" fontId="11" fillId="0" borderId="1" xfId="9" applyFont="1" applyFill="1" applyBorder="1" applyAlignment="1">
      <alignment horizontal="right"/>
    </xf>
    <xf numFmtId="0" fontId="11" fillId="0" borderId="1" xfId="9" applyFont="1" applyFill="1" applyBorder="1" applyAlignment="1">
      <alignment horizontal="center" textRotation="90"/>
    </xf>
    <xf numFmtId="0" fontId="11" fillId="0" borderId="0" xfId="9" applyFont="1" applyFill="1" applyAlignment="1">
      <alignment horizontal="center"/>
    </xf>
    <xf numFmtId="0" fontId="11" fillId="0" borderId="1" xfId="9" applyFont="1" applyBorder="1" applyAlignment="1">
      <alignment horizontal="center"/>
    </xf>
    <xf numFmtId="0" fontId="11" fillId="3" borderId="0" xfId="9" applyFont="1" applyFill="1" applyBorder="1" applyAlignment="1">
      <alignment horizontal="center"/>
    </xf>
    <xf numFmtId="0" fontId="11" fillId="0" borderId="0" xfId="9" applyFont="1" applyAlignment="1">
      <alignment horizontal="center"/>
    </xf>
    <xf numFmtId="0" fontId="11" fillId="0" borderId="0" xfId="9" applyFont="1" applyBorder="1"/>
    <xf numFmtId="0" fontId="11" fillId="0" borderId="0" xfId="9" applyFont="1"/>
    <xf numFmtId="0" fontId="11" fillId="0" borderId="2" xfId="9" applyFont="1" applyBorder="1"/>
    <xf numFmtId="0" fontId="11" fillId="0" borderId="3" xfId="9" applyFont="1" applyBorder="1" applyAlignment="1">
      <alignment horizontal="centerContinuous" vertical="center"/>
    </xf>
    <xf numFmtId="0" fontId="11" fillId="0" borderId="3" xfId="9" applyFont="1" applyBorder="1" applyAlignment="1">
      <alignment horizontal="center" vertical="center"/>
    </xf>
    <xf numFmtId="0" fontId="11" fillId="0" borderId="1" xfId="9" applyFont="1" applyBorder="1"/>
    <xf numFmtId="9" fontId="11" fillId="0" borderId="1" xfId="7" applyFont="1" applyFill="1" applyBorder="1" applyAlignment="1">
      <alignment horizontal="center"/>
    </xf>
    <xf numFmtId="0" fontId="11" fillId="3" borderId="0" xfId="9" applyFont="1" applyFill="1"/>
    <xf numFmtId="0" fontId="11" fillId="3" borderId="0" xfId="9" applyFont="1" applyFill="1" applyBorder="1"/>
    <xf numFmtId="0" fontId="11" fillId="0" borderId="0" xfId="9" applyFont="1" applyFill="1" applyBorder="1"/>
    <xf numFmtId="0" fontId="11" fillId="0" borderId="1" xfId="9" applyFont="1" applyFill="1" applyBorder="1"/>
    <xf numFmtId="1" fontId="11" fillId="0" borderId="1" xfId="1" applyNumberFormat="1" applyFont="1" applyFill="1" applyBorder="1" applyAlignment="1">
      <alignment horizontal="center"/>
    </xf>
    <xf numFmtId="9" fontId="11" fillId="0" borderId="0" xfId="7" applyFont="1" applyBorder="1"/>
    <xf numFmtId="0" fontId="11" fillId="0" borderId="0" xfId="9" applyFont="1" applyFill="1" applyAlignment="1">
      <alignment horizontal="right"/>
    </xf>
    <xf numFmtId="165" fontId="11" fillId="0" borderId="1" xfId="1" applyNumberFormat="1" applyFont="1" applyFill="1" applyBorder="1" applyAlignment="1">
      <alignment horizontal="center"/>
    </xf>
    <xf numFmtId="1" fontId="11" fillId="0" borderId="0" xfId="9" applyNumberFormat="1" applyFont="1" applyBorder="1"/>
    <xf numFmtId="0" fontId="11" fillId="0" borderId="0" xfId="9" applyFont="1" applyFill="1"/>
    <xf numFmtId="0" fontId="11" fillId="0" borderId="8" xfId="9" applyFont="1" applyFill="1" applyBorder="1"/>
    <xf numFmtId="165" fontId="11" fillId="0" borderId="6" xfId="1" applyNumberFormat="1" applyFont="1" applyFill="1" applyBorder="1" applyAlignment="1">
      <alignment horizontal="center"/>
    </xf>
    <xf numFmtId="0" fontId="12" fillId="0" borderId="2" xfId="9" applyFont="1" applyFill="1" applyBorder="1"/>
    <xf numFmtId="164" fontId="13" fillId="0" borderId="2" xfId="9" applyNumberFormat="1" applyFont="1" applyFill="1" applyBorder="1" applyAlignment="1">
      <alignment horizontal="center"/>
    </xf>
    <xf numFmtId="164" fontId="13" fillId="0" borderId="3" xfId="9" applyNumberFormat="1" applyFont="1" applyFill="1" applyBorder="1" applyAlignment="1">
      <alignment horizontal="center"/>
    </xf>
    <xf numFmtId="9" fontId="11" fillId="0" borderId="1" xfId="7" applyFont="1" applyBorder="1" applyAlignment="1">
      <alignment horizontal="center"/>
    </xf>
    <xf numFmtId="0" fontId="11" fillId="0" borderId="1" xfId="9" applyFont="1" applyFill="1" applyBorder="1" applyAlignment="1">
      <alignment horizontal="left"/>
    </xf>
    <xf numFmtId="164" fontId="11" fillId="0" borderId="0" xfId="9" applyNumberFormat="1" applyFont="1" applyBorder="1"/>
    <xf numFmtId="0" fontId="14" fillId="0" borderId="2" xfId="9" applyFont="1" applyBorder="1" applyAlignment="1">
      <alignment horizontal="center"/>
    </xf>
    <xf numFmtId="0" fontId="14" fillId="0" borderId="3" xfId="9" applyFont="1" applyBorder="1" applyAlignment="1">
      <alignment horizontal="center"/>
    </xf>
    <xf numFmtId="1" fontId="14" fillId="0" borderId="6" xfId="9" applyNumberFormat="1" applyFont="1" applyBorder="1" applyAlignment="1">
      <alignment horizontal="center"/>
    </xf>
    <xf numFmtId="0" fontId="11" fillId="5" borderId="1" xfId="9" applyFont="1" applyFill="1" applyBorder="1"/>
    <xf numFmtId="0" fontId="14" fillId="5" borderId="1" xfId="9" applyFont="1" applyFill="1" applyBorder="1" applyAlignment="1">
      <alignment horizontal="center"/>
    </xf>
    <xf numFmtId="0" fontId="15" fillId="7" borderId="13" xfId="9" applyFont="1" applyFill="1" applyBorder="1" applyAlignment="1">
      <alignment horizontal="right"/>
    </xf>
    <xf numFmtId="2" fontId="11" fillId="7" borderId="1" xfId="9" applyNumberFormat="1" applyFont="1" applyFill="1" applyBorder="1" applyAlignment="1">
      <alignment horizontal="center"/>
    </xf>
    <xf numFmtId="2" fontId="11" fillId="7" borderId="14" xfId="9" applyNumberFormat="1" applyFont="1" applyFill="1" applyBorder="1" applyAlignment="1">
      <alignment horizontal="center"/>
    </xf>
    <xf numFmtId="0" fontId="15" fillId="7" borderId="15" xfId="9" applyFont="1" applyFill="1" applyBorder="1" applyAlignment="1">
      <alignment horizontal="right"/>
    </xf>
    <xf numFmtId="2" fontId="11" fillId="7" borderId="17" xfId="9" applyNumberFormat="1" applyFont="1" applyFill="1" applyBorder="1" applyAlignment="1">
      <alignment horizontal="center"/>
    </xf>
    <xf numFmtId="2" fontId="11" fillId="7" borderId="16" xfId="9" applyNumberFormat="1" applyFont="1" applyFill="1" applyBorder="1" applyAlignment="1">
      <alignment horizontal="center"/>
    </xf>
    <xf numFmtId="0" fontId="11" fillId="7" borderId="13" xfId="9" applyFont="1" applyFill="1" applyBorder="1"/>
    <xf numFmtId="0" fontId="14" fillId="7" borderId="14" xfId="9" applyFont="1" applyFill="1" applyBorder="1" applyAlignment="1">
      <alignment horizontal="center"/>
    </xf>
    <xf numFmtId="1" fontId="14" fillId="7" borderId="14" xfId="9" applyNumberFormat="1" applyFont="1" applyFill="1" applyBorder="1" applyAlignment="1">
      <alignment horizontal="center"/>
    </xf>
    <xf numFmtId="0" fontId="11" fillId="7" borderId="15" xfId="9" applyFont="1" applyFill="1" applyBorder="1"/>
    <xf numFmtId="0" fontId="11" fillId="7" borderId="16" xfId="9" applyFont="1" applyFill="1" applyBorder="1" applyAlignment="1">
      <alignment horizontal="center" vertical="center"/>
    </xf>
    <xf numFmtId="0" fontId="11" fillId="7" borderId="14" xfId="9" applyFont="1" applyFill="1" applyBorder="1" applyAlignment="1">
      <alignment horizontal="center"/>
    </xf>
    <xf numFmtId="0" fontId="11" fillId="7" borderId="16" xfId="9" applyFont="1" applyFill="1" applyBorder="1" applyAlignment="1">
      <alignment horizontal="center"/>
    </xf>
    <xf numFmtId="164" fontId="13" fillId="0" borderId="5" xfId="9" applyNumberFormat="1" applyFont="1" applyFill="1" applyBorder="1" applyAlignment="1">
      <alignment horizontal="center"/>
    </xf>
    <xf numFmtId="0" fontId="14" fillId="0" borderId="5" xfId="9" applyFont="1" applyBorder="1" applyAlignment="1">
      <alignment horizontal="center"/>
    </xf>
    <xf numFmtId="164" fontId="10" fillId="3" borderId="0" xfId="0" applyNumberFormat="1" applyFont="1" applyFill="1"/>
    <xf numFmtId="0" fontId="10" fillId="3" borderId="0" xfId="0" applyFont="1" applyFill="1"/>
    <xf numFmtId="164" fontId="10" fillId="3" borderId="0" xfId="0" quotePrefix="1" applyNumberFormat="1" applyFont="1" applyFill="1"/>
    <xf numFmtId="0" fontId="10" fillId="0" borderId="0" xfId="0" applyFont="1"/>
    <xf numFmtId="0" fontId="11" fillId="3" borderId="1" xfId="0" applyFont="1" applyFill="1" applyBorder="1" applyAlignment="1">
      <alignment horizontal="center" textRotation="90"/>
    </xf>
    <xf numFmtId="0" fontId="11" fillId="0" borderId="1" xfId="0" applyFont="1" applyFill="1" applyBorder="1" applyAlignment="1">
      <alignment horizontal="left"/>
    </xf>
    <xf numFmtId="2" fontId="11" fillId="0" borderId="1" xfId="0" applyNumberFormat="1" applyFont="1" applyFill="1" applyBorder="1" applyAlignment="1">
      <alignment horizontal="center"/>
    </xf>
    <xf numFmtId="0" fontId="14" fillId="0" borderId="1" xfId="0" applyFont="1" applyFill="1" applyBorder="1"/>
    <xf numFmtId="2" fontId="14" fillId="0" borderId="1" xfId="0" applyNumberFormat="1" applyFont="1" applyFill="1" applyBorder="1" applyAlignment="1">
      <alignment horizontal="center"/>
    </xf>
    <xf numFmtId="2" fontId="11"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xf>
    <xf numFmtId="1" fontId="10" fillId="3" borderId="0" xfId="0" applyNumberFormat="1" applyFont="1" applyFill="1" applyAlignment="1">
      <alignment horizontal="right"/>
    </xf>
    <xf numFmtId="2" fontId="10" fillId="3" borderId="0" xfId="0" applyNumberFormat="1" applyFont="1" applyFill="1" applyAlignment="1">
      <alignment horizontal="right"/>
    </xf>
    <xf numFmtId="164" fontId="10" fillId="3" borderId="0" xfId="0" applyNumberFormat="1" applyFont="1" applyFill="1" applyAlignment="1">
      <alignment horizontal="right"/>
    </xf>
    <xf numFmtId="0" fontId="11" fillId="3" borderId="0" xfId="9" applyFont="1" applyFill="1" applyAlignment="1">
      <alignment horizontal="right"/>
    </xf>
    <xf numFmtId="0" fontId="11" fillId="0" borderId="0" xfId="9" applyFont="1" applyAlignment="1">
      <alignment horizontal="right"/>
    </xf>
    <xf numFmtId="0" fontId="11" fillId="7" borderId="20" xfId="9" applyFont="1" applyFill="1" applyBorder="1"/>
    <xf numFmtId="0" fontId="11" fillId="7" borderId="21" xfId="9" applyFont="1" applyFill="1" applyBorder="1" applyAlignment="1">
      <alignment horizontal="center"/>
    </xf>
    <xf numFmtId="1" fontId="14" fillId="7" borderId="21" xfId="9" applyNumberFormat="1" applyFont="1" applyFill="1" applyBorder="1" applyAlignment="1">
      <alignment horizontal="center"/>
    </xf>
    <xf numFmtId="0" fontId="14" fillId="5" borderId="1" xfId="0" applyFont="1" applyFill="1" applyBorder="1"/>
    <xf numFmtId="0" fontId="14" fillId="5" borderId="1" xfId="0" applyFont="1" applyFill="1" applyBorder="1" applyAlignment="1">
      <alignment horizontal="center"/>
    </xf>
    <xf numFmtId="1" fontId="10" fillId="3" borderId="0" xfId="3" applyNumberFormat="1" applyFont="1" applyFill="1" applyAlignment="1">
      <alignment horizontal="right"/>
    </xf>
    <xf numFmtId="164" fontId="10" fillId="3" borderId="0" xfId="3" applyNumberFormat="1" applyFont="1" applyFill="1" applyAlignment="1">
      <alignment horizontal="right"/>
    </xf>
    <xf numFmtId="2" fontId="10" fillId="3" borderId="0" xfId="3" applyNumberFormat="1" applyFont="1" applyFill="1" applyAlignment="1">
      <alignment horizontal="right"/>
    </xf>
    <xf numFmtId="164" fontId="10" fillId="3" borderId="0" xfId="3" quotePrefix="1" applyNumberFormat="1" applyFont="1" applyFill="1" applyAlignment="1">
      <alignment horizontal="right"/>
    </xf>
    <xf numFmtId="0" fontId="10" fillId="3" borderId="0" xfId="3" applyFont="1" applyFill="1" applyAlignment="1">
      <alignment horizontal="right"/>
    </xf>
    <xf numFmtId="0" fontId="11" fillId="0" borderId="1" xfId="4" applyFont="1" applyBorder="1" applyAlignment="1">
      <alignment horizontal="center"/>
    </xf>
    <xf numFmtId="0" fontId="11" fillId="3" borderId="7" xfId="4" applyFont="1" applyFill="1" applyBorder="1" applyAlignment="1">
      <alignment horizontal="center"/>
    </xf>
    <xf numFmtId="2" fontId="11" fillId="0" borderId="1" xfId="11" applyNumberFormat="1" applyFont="1" applyFill="1" applyBorder="1" applyAlignment="1">
      <alignment horizontal="center"/>
    </xf>
    <xf numFmtId="0" fontId="14" fillId="0" borderId="1" xfId="3" applyFont="1" applyFill="1" applyBorder="1"/>
    <xf numFmtId="0" fontId="11" fillId="0" borderId="1" xfId="3" applyFont="1" applyFill="1" applyBorder="1" applyAlignment="1">
      <alignment horizontal="left"/>
    </xf>
    <xf numFmtId="0" fontId="11" fillId="0" borderId="6" xfId="0" applyFont="1" applyFill="1" applyBorder="1" applyAlignment="1">
      <alignment horizontal="left"/>
    </xf>
    <xf numFmtId="2" fontId="11" fillId="0" borderId="1" xfId="11" applyNumberFormat="1" applyFont="1" applyFill="1" applyBorder="1" applyAlignment="1">
      <alignment horizontal="center" vertical="center"/>
    </xf>
    <xf numFmtId="164" fontId="10" fillId="3" borderId="0" xfId="9" applyNumberFormat="1" applyFont="1" applyFill="1" applyAlignment="1">
      <alignment horizontal="right"/>
    </xf>
    <xf numFmtId="167" fontId="10" fillId="3" borderId="0" xfId="11" applyNumberFormat="1" applyFont="1" applyFill="1" applyAlignment="1">
      <alignment horizontal="center"/>
    </xf>
    <xf numFmtId="164" fontId="10" fillId="3" borderId="0" xfId="11" applyNumberFormat="1" applyFont="1" applyFill="1" applyAlignment="1">
      <alignment horizontal="right"/>
    </xf>
    <xf numFmtId="166" fontId="8" fillId="0" borderId="0" xfId="9" applyNumberFormat="1" applyFont="1" applyFill="1" applyBorder="1" applyAlignment="1" applyProtection="1">
      <protection locked="0"/>
    </xf>
    <xf numFmtId="0" fontId="12" fillId="0" borderId="4" xfId="9" applyFont="1" applyFill="1" applyBorder="1"/>
    <xf numFmtId="0" fontId="10" fillId="0" borderId="0" xfId="9" applyFont="1"/>
    <xf numFmtId="0" fontId="10" fillId="3" borderId="0" xfId="9" applyFont="1" applyFill="1" applyBorder="1"/>
    <xf numFmtId="0" fontId="10" fillId="3" borderId="0" xfId="9" applyFont="1" applyFill="1" applyBorder="1" applyAlignment="1">
      <alignment horizontal="center"/>
    </xf>
    <xf numFmtId="0" fontId="10" fillId="0" borderId="0" xfId="9" applyFont="1" applyFill="1" applyBorder="1"/>
    <xf numFmtId="165" fontId="11" fillId="3" borderId="1" xfId="10" applyNumberFormat="1" applyFont="1" applyFill="1" applyBorder="1" applyAlignment="1">
      <alignment horizontal="center"/>
    </xf>
    <xf numFmtId="0" fontId="10" fillId="0" borderId="0" xfId="9" applyFont="1" applyFill="1"/>
    <xf numFmtId="2" fontId="16" fillId="7" borderId="1" xfId="9" applyNumberFormat="1" applyFont="1" applyFill="1" applyBorder="1" applyAlignment="1">
      <alignment horizontal="center"/>
    </xf>
    <xf numFmtId="2" fontId="16" fillId="7" borderId="14" xfId="9" applyNumberFormat="1" applyFont="1" applyFill="1" applyBorder="1" applyAlignment="1">
      <alignment horizontal="center"/>
    </xf>
    <xf numFmtId="0" fontId="10" fillId="7" borderId="20" xfId="9" applyFont="1" applyFill="1" applyBorder="1" applyAlignment="1">
      <alignment horizontal="right"/>
    </xf>
    <xf numFmtId="2" fontId="17" fillId="7" borderId="21" xfId="9" applyNumberFormat="1" applyFont="1" applyFill="1" applyBorder="1" applyAlignment="1">
      <alignment horizontal="right"/>
    </xf>
    <xf numFmtId="0" fontId="10" fillId="7" borderId="15" xfId="9" applyFont="1" applyFill="1" applyBorder="1" applyAlignment="1">
      <alignment horizontal="right"/>
    </xf>
    <xf numFmtId="2" fontId="17" fillId="7" borderId="16" xfId="9" applyNumberFormat="1" applyFont="1" applyFill="1" applyBorder="1" applyAlignment="1">
      <alignment horizontal="right"/>
    </xf>
    <xf numFmtId="0" fontId="10" fillId="0" borderId="0" xfId="9" applyFont="1" applyBorder="1"/>
    <xf numFmtId="0" fontId="11" fillId="0" borderId="23" xfId="9" applyFont="1" applyBorder="1"/>
    <xf numFmtId="0" fontId="11" fillId="0" borderId="23" xfId="9" applyFont="1" applyFill="1" applyBorder="1"/>
    <xf numFmtId="1" fontId="14" fillId="0" borderId="1" xfId="9" applyNumberFormat="1" applyFont="1" applyBorder="1" applyAlignment="1">
      <alignment horizontal="center"/>
    </xf>
    <xf numFmtId="0" fontId="11" fillId="7" borderId="24" xfId="9" applyFont="1" applyFill="1" applyBorder="1" applyAlignment="1">
      <alignment horizontal="center"/>
    </xf>
    <xf numFmtId="0" fontId="11" fillId="3" borderId="0" xfId="9" applyFont="1" applyFill="1" applyBorder="1" applyAlignment="1">
      <alignment vertical="center"/>
    </xf>
    <xf numFmtId="0" fontId="11" fillId="3" borderId="1" xfId="9" applyFont="1" applyFill="1" applyBorder="1" applyAlignment="1">
      <alignment horizontal="center" textRotation="90" wrapText="1"/>
    </xf>
    <xf numFmtId="0" fontId="11" fillId="7" borderId="25" xfId="9" applyFont="1" applyFill="1" applyBorder="1" applyAlignment="1">
      <alignment horizontal="right"/>
    </xf>
    <xf numFmtId="0" fontId="11" fillId="7" borderId="26" xfId="9" applyFont="1" applyFill="1" applyBorder="1" applyAlignment="1">
      <alignment horizontal="center"/>
    </xf>
    <xf numFmtId="0" fontId="11" fillId="0" borderId="0" xfId="9" applyFont="1" applyFill="1" applyBorder="1" applyAlignment="1">
      <alignment horizontal="center"/>
    </xf>
    <xf numFmtId="0" fontId="11" fillId="7" borderId="15" xfId="9" applyFont="1" applyFill="1" applyBorder="1" applyAlignment="1">
      <alignment horizontal="right"/>
    </xf>
    <xf numFmtId="0" fontId="11" fillId="7" borderId="17" xfId="9" applyFont="1" applyFill="1" applyBorder="1" applyAlignment="1">
      <alignment horizontal="center"/>
    </xf>
    <xf numFmtId="0" fontId="15" fillId="7" borderId="20" xfId="9" applyFont="1" applyFill="1" applyBorder="1" applyAlignment="1">
      <alignment horizontal="right"/>
    </xf>
    <xf numFmtId="2" fontId="11" fillId="7" borderId="6" xfId="9" applyNumberFormat="1" applyFont="1" applyFill="1" applyBorder="1" applyAlignment="1">
      <alignment horizontal="center"/>
    </xf>
    <xf numFmtId="2" fontId="11" fillId="7" borderId="21" xfId="9" applyNumberFormat="1" applyFont="1" applyFill="1" applyBorder="1" applyAlignment="1">
      <alignment horizontal="center"/>
    </xf>
    <xf numFmtId="2" fontId="11" fillId="7" borderId="28" xfId="9" applyNumberFormat="1" applyFont="1" applyFill="1" applyBorder="1" applyAlignment="1">
      <alignment horizontal="center"/>
    </xf>
    <xf numFmtId="2" fontId="11" fillId="7" borderId="29" xfId="9" applyNumberFormat="1" applyFont="1" applyFill="1" applyBorder="1" applyAlignment="1">
      <alignment horizontal="center"/>
    </xf>
    <xf numFmtId="2" fontId="16" fillId="7" borderId="29" xfId="9" applyNumberFormat="1" applyFont="1" applyFill="1" applyBorder="1" applyAlignment="1">
      <alignment horizontal="center"/>
    </xf>
    <xf numFmtId="2" fontId="11" fillId="7" borderId="30" xfId="9" applyNumberFormat="1" applyFont="1" applyFill="1" applyBorder="1" applyAlignment="1">
      <alignment horizontal="center"/>
    </xf>
    <xf numFmtId="0" fontId="10" fillId="7" borderId="14" xfId="9" applyFont="1" applyFill="1" applyBorder="1" applyAlignment="1">
      <alignment horizontal="center"/>
    </xf>
    <xf numFmtId="0" fontId="11" fillId="7" borderId="20" xfId="9" applyFont="1" applyFill="1" applyBorder="1" applyAlignment="1">
      <alignment horizontal="right"/>
    </xf>
    <xf numFmtId="0" fontId="14" fillId="0" borderId="0" xfId="9" applyFont="1" applyFill="1" applyBorder="1" applyAlignment="1">
      <alignment horizontal="center"/>
    </xf>
    <xf numFmtId="0" fontId="10" fillId="0" borderId="0" xfId="9" applyFont="1" applyAlignment="1">
      <alignment horizontal="right"/>
    </xf>
    <xf numFmtId="2" fontId="11" fillId="0" borderId="1" xfId="9" applyNumberFormat="1" applyFont="1" applyFill="1" applyBorder="1" applyAlignment="1">
      <alignment horizontal="center"/>
    </xf>
    <xf numFmtId="0" fontId="11" fillId="0" borderId="1" xfId="9" applyFont="1" applyBorder="1" applyAlignment="1">
      <alignment horizontal="left"/>
    </xf>
    <xf numFmtId="2" fontId="14" fillId="0" borderId="1" xfId="11" applyNumberFormat="1" applyFont="1" applyFill="1" applyBorder="1" applyAlignment="1">
      <alignment horizontal="center"/>
    </xf>
    <xf numFmtId="0" fontId="19" fillId="0" borderId="0" xfId="0" applyFont="1"/>
    <xf numFmtId="0" fontId="19" fillId="0" borderId="1" xfId="0" applyFont="1" applyBorder="1"/>
    <xf numFmtId="2" fontId="16" fillId="7" borderId="2" xfId="9" applyNumberFormat="1" applyFont="1" applyFill="1" applyBorder="1" applyAlignment="1">
      <alignment horizontal="center"/>
    </xf>
    <xf numFmtId="2" fontId="11" fillId="7" borderId="8" xfId="9" applyNumberFormat="1" applyFont="1" applyFill="1" applyBorder="1" applyAlignment="1">
      <alignment horizontal="center"/>
    </xf>
    <xf numFmtId="2" fontId="11" fillId="7" borderId="2" xfId="9" applyNumberFormat="1" applyFont="1" applyFill="1" applyBorder="1" applyAlignment="1">
      <alignment horizontal="center"/>
    </xf>
    <xf numFmtId="2" fontId="11" fillId="7" borderId="31" xfId="9" applyNumberFormat="1" applyFont="1" applyFill="1" applyBorder="1" applyAlignment="1">
      <alignment horizontal="center"/>
    </xf>
    <xf numFmtId="2" fontId="11" fillId="7" borderId="24" xfId="9" applyNumberFormat="1" applyFont="1" applyFill="1" applyBorder="1" applyAlignment="1">
      <alignment horizontal="center"/>
    </xf>
    <xf numFmtId="0" fontId="20" fillId="0" borderId="0" xfId="11" applyFont="1"/>
    <xf numFmtId="0" fontId="21" fillId="0" borderId="0" xfId="0" applyFont="1"/>
    <xf numFmtId="0" fontId="22" fillId="0" borderId="1" xfId="0" applyFont="1" applyBorder="1" applyAlignment="1">
      <alignment horizontal="center"/>
    </xf>
    <xf numFmtId="0" fontId="23" fillId="3" borderId="0" xfId="13" applyFont="1" applyFill="1" applyAlignment="1" applyProtection="1">
      <alignment horizontal="left"/>
    </xf>
    <xf numFmtId="0" fontId="8"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horizontal="center"/>
    </xf>
    <xf numFmtId="0" fontId="19" fillId="0" borderId="1" xfId="0" applyFont="1" applyBorder="1" applyAlignment="1">
      <alignment horizontal="center"/>
    </xf>
    <xf numFmtId="0" fontId="19" fillId="0" borderId="1" xfId="11" applyFont="1" applyBorder="1"/>
    <xf numFmtId="0" fontId="19" fillId="0" borderId="0" xfId="11" applyFont="1"/>
    <xf numFmtId="0" fontId="15" fillId="7" borderId="32" xfId="9" applyFont="1" applyFill="1" applyBorder="1" applyAlignment="1">
      <alignment horizontal="right"/>
    </xf>
    <xf numFmtId="2" fontId="16" fillId="7" borderId="33" xfId="9" applyNumberFormat="1" applyFont="1" applyFill="1" applyBorder="1" applyAlignment="1">
      <alignment horizontal="center"/>
    </xf>
    <xf numFmtId="2" fontId="16" fillId="7" borderId="34" xfId="9" applyNumberFormat="1" applyFont="1" applyFill="1" applyBorder="1" applyAlignment="1">
      <alignment horizontal="center"/>
    </xf>
    <xf numFmtId="2" fontId="16" fillId="7" borderId="35" xfId="9" applyNumberFormat="1" applyFont="1" applyFill="1" applyBorder="1" applyAlignment="1">
      <alignment horizontal="center"/>
    </xf>
    <xf numFmtId="0" fontId="25" fillId="0" borderId="0" xfId="0" applyFont="1"/>
    <xf numFmtId="0" fontId="11" fillId="0" borderId="13" xfId="0" applyFont="1" applyFill="1" applyBorder="1"/>
    <xf numFmtId="0" fontId="11" fillId="0" borderId="15" xfId="0" applyFont="1" applyFill="1" applyBorder="1"/>
    <xf numFmtId="0" fontId="11" fillId="0" borderId="0" xfId="14" applyFont="1" applyBorder="1"/>
    <xf numFmtId="2" fontId="11" fillId="10" borderId="1" xfId="14" applyNumberFormat="1" applyFont="1" applyFill="1" applyBorder="1" applyAlignment="1">
      <alignment horizontal="center"/>
    </xf>
    <xf numFmtId="2" fontId="11" fillId="10" borderId="17" xfId="14" applyNumberFormat="1" applyFont="1" applyFill="1" applyBorder="1" applyAlignment="1">
      <alignment horizontal="center"/>
    </xf>
    <xf numFmtId="2" fontId="11" fillId="11" borderId="1" xfId="14" applyNumberFormat="1" applyFont="1" applyFill="1" applyBorder="1" applyAlignment="1">
      <alignment horizontal="center"/>
    </xf>
    <xf numFmtId="2" fontId="11" fillId="11" borderId="17" xfId="14" applyNumberFormat="1" applyFont="1" applyFill="1" applyBorder="1" applyAlignment="1">
      <alignment horizontal="center"/>
    </xf>
    <xf numFmtId="2" fontId="11" fillId="12" borderId="1" xfId="14" applyNumberFormat="1" applyFont="1" applyFill="1" applyBorder="1" applyAlignment="1">
      <alignment horizontal="center"/>
    </xf>
    <xf numFmtId="2" fontId="11" fillId="12" borderId="36" xfId="14" applyNumberFormat="1" applyFont="1" applyFill="1" applyBorder="1" applyAlignment="1">
      <alignment horizontal="center"/>
    </xf>
    <xf numFmtId="2" fontId="11" fillId="12" borderId="17" xfId="14" applyNumberFormat="1" applyFont="1" applyFill="1" applyBorder="1" applyAlignment="1">
      <alignment horizontal="center"/>
    </xf>
    <xf numFmtId="2" fontId="11" fillId="10" borderId="7" xfId="14" applyNumberFormat="1" applyFont="1" applyFill="1" applyBorder="1" applyAlignment="1">
      <alignment horizontal="center"/>
    </xf>
    <xf numFmtId="2" fontId="11" fillId="10" borderId="23" xfId="14" applyNumberFormat="1" applyFont="1" applyFill="1" applyBorder="1" applyAlignment="1">
      <alignment horizontal="center"/>
    </xf>
    <xf numFmtId="2" fontId="11" fillId="11" borderId="7" xfId="14" applyNumberFormat="1" applyFont="1" applyFill="1" applyBorder="1" applyAlignment="1">
      <alignment horizontal="center"/>
    </xf>
    <xf numFmtId="2" fontId="11" fillId="12" borderId="7" xfId="14" applyNumberFormat="1" applyFont="1" applyFill="1" applyBorder="1" applyAlignment="1">
      <alignment horizontal="center"/>
    </xf>
    <xf numFmtId="0" fontId="11" fillId="0" borderId="38" xfId="14" applyFont="1" applyBorder="1"/>
    <xf numFmtId="165" fontId="11" fillId="0" borderId="8" xfId="1" applyNumberFormat="1" applyFont="1" applyFill="1" applyBorder="1" applyAlignment="1">
      <alignment horizontal="center"/>
    </xf>
    <xf numFmtId="165" fontId="11" fillId="0" borderId="23" xfId="1" applyNumberFormat="1" applyFont="1" applyFill="1" applyBorder="1" applyAlignment="1">
      <alignment horizontal="center"/>
    </xf>
    <xf numFmtId="0" fontId="16" fillId="0" borderId="8" xfId="9" applyFont="1" applyFill="1" applyBorder="1"/>
    <xf numFmtId="165" fontId="11" fillId="0" borderId="2" xfId="1" applyNumberFormat="1" applyFont="1" applyFill="1" applyBorder="1" applyAlignment="1">
      <alignment horizontal="center"/>
    </xf>
    <xf numFmtId="165" fontId="11" fillId="0" borderId="3" xfId="1" applyNumberFormat="1" applyFont="1" applyFill="1" applyBorder="1" applyAlignment="1">
      <alignment horizontal="center"/>
    </xf>
    <xf numFmtId="0" fontId="16" fillId="0" borderId="2" xfId="9" applyFont="1" applyBorder="1"/>
    <xf numFmtId="9" fontId="11" fillId="0" borderId="7" xfId="7" applyFont="1" applyFill="1" applyBorder="1" applyAlignment="1">
      <alignment horizontal="center"/>
    </xf>
    <xf numFmtId="1" fontId="11" fillId="0" borderId="6" xfId="1" applyNumberFormat="1" applyFont="1" applyFill="1" applyBorder="1" applyAlignment="1">
      <alignment horizontal="center"/>
    </xf>
    <xf numFmtId="1" fontId="11" fillId="0" borderId="2" xfId="1" applyNumberFormat="1" applyFont="1" applyFill="1" applyBorder="1" applyAlignment="1">
      <alignment horizontal="center"/>
    </xf>
    <xf numFmtId="1" fontId="11" fillId="0" borderId="3" xfId="1" applyNumberFormat="1" applyFont="1" applyFill="1" applyBorder="1" applyAlignment="1">
      <alignment horizontal="center"/>
    </xf>
    <xf numFmtId="9" fontId="11" fillId="0" borderId="2" xfId="7" applyFont="1" applyFill="1" applyBorder="1" applyAlignment="1">
      <alignment horizontal="center"/>
    </xf>
    <xf numFmtId="9" fontId="11" fillId="0" borderId="3" xfId="7" applyFont="1" applyFill="1" applyBorder="1" applyAlignment="1">
      <alignment horizontal="center"/>
    </xf>
    <xf numFmtId="0" fontId="11" fillId="0" borderId="7" xfId="9" applyFont="1" applyBorder="1" applyAlignment="1">
      <alignment horizontal="center"/>
    </xf>
    <xf numFmtId="2" fontId="11" fillId="0" borderId="6" xfId="9" applyNumberFormat="1" applyFont="1" applyFill="1" applyBorder="1" applyAlignment="1">
      <alignment horizontal="center"/>
    </xf>
    <xf numFmtId="2" fontId="11" fillId="0" borderId="8" xfId="9" applyNumberFormat="1" applyFont="1" applyFill="1" applyBorder="1" applyAlignment="1">
      <alignment horizontal="center"/>
    </xf>
    <xf numFmtId="9" fontId="11" fillId="0" borderId="9" xfId="7" applyFont="1" applyFill="1" applyBorder="1" applyAlignment="1">
      <alignment horizontal="center"/>
    </xf>
    <xf numFmtId="1" fontId="11" fillId="0" borderId="8" xfId="1" applyNumberFormat="1" applyFont="1" applyFill="1" applyBorder="1" applyAlignment="1">
      <alignment horizontal="center"/>
    </xf>
    <xf numFmtId="165" fontId="11" fillId="3" borderId="2" xfId="10" applyNumberFormat="1" applyFont="1" applyFill="1" applyBorder="1" applyAlignment="1">
      <alignment horizontal="center"/>
    </xf>
    <xf numFmtId="165" fontId="11" fillId="0" borderId="4" xfId="1" applyNumberFormat="1" applyFont="1" applyFill="1" applyBorder="1" applyAlignment="1">
      <alignment horizontal="center"/>
    </xf>
    <xf numFmtId="0" fontId="11" fillId="0" borderId="2" xfId="9" applyFont="1" applyFill="1" applyBorder="1" applyAlignment="1">
      <alignment horizontal="center" textRotation="90"/>
    </xf>
    <xf numFmtId="2" fontId="11" fillId="0" borderId="2" xfId="9" applyNumberFormat="1" applyFont="1" applyFill="1" applyBorder="1" applyAlignment="1">
      <alignment horizontal="center"/>
    </xf>
    <xf numFmtId="0" fontId="11" fillId="3" borderId="9" xfId="4" applyFont="1" applyFill="1" applyBorder="1" applyAlignment="1">
      <alignment horizontal="center"/>
    </xf>
    <xf numFmtId="0" fontId="11" fillId="0" borderId="2" xfId="4" applyFont="1" applyBorder="1" applyAlignment="1">
      <alignment horizontal="center"/>
    </xf>
    <xf numFmtId="15" fontId="19" fillId="0" borderId="1" xfId="0" applyNumberFormat="1" applyFont="1" applyBorder="1" applyAlignment="1">
      <alignment horizontal="center"/>
    </xf>
    <xf numFmtId="0" fontId="19" fillId="0" borderId="1" xfId="0" applyFont="1" applyFill="1" applyBorder="1"/>
    <xf numFmtId="0" fontId="14" fillId="5" borderId="5" xfId="9" applyFont="1" applyFill="1" applyBorder="1" applyAlignment="1">
      <alignment horizontal="center"/>
    </xf>
    <xf numFmtId="15" fontId="19" fillId="0" borderId="1" xfId="11" applyNumberFormat="1" applyFont="1" applyBorder="1" applyAlignment="1">
      <alignment horizontal="center"/>
    </xf>
    <xf numFmtId="0" fontId="19" fillId="0" borderId="0" xfId="0" applyFont="1" applyAlignment="1">
      <alignment horizontal="center"/>
    </xf>
    <xf numFmtId="0" fontId="10" fillId="0" borderId="7" xfId="0" applyFont="1" applyBorder="1" applyAlignment="1">
      <alignment horizontal="center"/>
    </xf>
    <xf numFmtId="0" fontId="11" fillId="0" borderId="1" xfId="9" applyFont="1" applyFill="1" applyBorder="1" applyAlignment="1">
      <alignment horizontal="center"/>
    </xf>
    <xf numFmtId="0" fontId="11" fillId="0" borderId="2" xfId="9" applyFont="1" applyFill="1" applyBorder="1"/>
    <xf numFmtId="0" fontId="11" fillId="0" borderId="3" xfId="9" applyFont="1" applyFill="1" applyBorder="1" applyAlignment="1">
      <alignment horizontal="centerContinuous" vertical="center"/>
    </xf>
    <xf numFmtId="0" fontId="11" fillId="0" borderId="3" xfId="9" applyFont="1" applyFill="1" applyBorder="1" applyAlignment="1">
      <alignment horizontal="center" vertical="center"/>
    </xf>
    <xf numFmtId="15" fontId="19" fillId="0" borderId="1" xfId="11" applyNumberFormat="1" applyFont="1" applyBorder="1" applyAlignment="1">
      <alignment horizontal="right"/>
    </xf>
    <xf numFmtId="0" fontId="23" fillId="0" borderId="1" xfId="13" applyFont="1" applyBorder="1" applyAlignment="1" applyProtection="1"/>
    <xf numFmtId="0" fontId="12" fillId="7" borderId="25" xfId="11" applyFont="1" applyFill="1" applyBorder="1" applyAlignment="1"/>
    <xf numFmtId="0" fontId="15" fillId="0" borderId="13" xfId="14" applyFont="1" applyFill="1" applyBorder="1"/>
    <xf numFmtId="2" fontId="11" fillId="12" borderId="14" xfId="14" applyNumberFormat="1" applyFont="1" applyFill="1" applyBorder="1" applyAlignment="1">
      <alignment horizontal="center"/>
    </xf>
    <xf numFmtId="0" fontId="11" fillId="0" borderId="0" xfId="14" applyFont="1" applyFill="1" applyBorder="1"/>
    <xf numFmtId="2" fontId="11" fillId="0" borderId="0" xfId="14" applyNumberFormat="1" applyFont="1" applyFill="1" applyBorder="1" applyAlignment="1">
      <alignment horizontal="center"/>
    </xf>
    <xf numFmtId="0" fontId="11" fillId="0" borderId="38" xfId="14" applyFont="1" applyFill="1" applyBorder="1"/>
    <xf numFmtId="2" fontId="11" fillId="10" borderId="2" xfId="14" applyNumberFormat="1" applyFont="1" applyFill="1" applyBorder="1" applyAlignment="1">
      <alignment horizontal="center"/>
    </xf>
    <xf numFmtId="2" fontId="11" fillId="12" borderId="40" xfId="14" applyNumberFormat="1" applyFont="1" applyFill="1" applyBorder="1" applyAlignment="1">
      <alignment horizontal="center"/>
    </xf>
    <xf numFmtId="2" fontId="11" fillId="12" borderId="16" xfId="14" applyNumberFormat="1" applyFont="1" applyFill="1" applyBorder="1" applyAlignment="1">
      <alignment horizontal="center"/>
    </xf>
    <xf numFmtId="0" fontId="11" fillId="0" borderId="20" xfId="0" applyFont="1" applyFill="1" applyBorder="1"/>
    <xf numFmtId="2" fontId="11" fillId="11" borderId="23" xfId="14" applyNumberFormat="1" applyFont="1" applyFill="1" applyBorder="1" applyAlignment="1">
      <alignment horizontal="center"/>
    </xf>
    <xf numFmtId="2" fontId="11" fillId="12" borderId="23" xfId="14" applyNumberFormat="1" applyFont="1" applyFill="1" applyBorder="1" applyAlignment="1">
      <alignment horizontal="center"/>
    </xf>
    <xf numFmtId="2" fontId="11" fillId="12" borderId="41" xfId="14" applyNumberFormat="1" applyFont="1" applyFill="1" applyBorder="1" applyAlignment="1">
      <alignment horizontal="center"/>
    </xf>
    <xf numFmtId="0" fontId="26" fillId="0" borderId="0" xfId="9" applyFont="1"/>
    <xf numFmtId="0" fontId="18" fillId="3" borderId="0" xfId="13" applyFont="1" applyFill="1" applyAlignment="1" applyProtection="1">
      <alignment horizontal="left"/>
    </xf>
    <xf numFmtId="0" fontId="12" fillId="0" borderId="2" xfId="14" applyFont="1" applyFill="1" applyBorder="1"/>
    <xf numFmtId="2" fontId="11" fillId="0" borderId="2" xfId="0" applyNumberFormat="1" applyFont="1" applyFill="1" applyBorder="1" applyAlignment="1">
      <alignment horizontal="center" vertical="center"/>
    </xf>
    <xf numFmtId="0" fontId="11" fillId="0" borderId="0" xfId="16" applyFont="1" applyBorder="1"/>
    <xf numFmtId="0" fontId="11" fillId="0" borderId="0" xfId="16" applyFont="1"/>
    <xf numFmtId="0" fontId="12" fillId="0" borderId="2" xfId="16" applyFont="1" applyFill="1" applyBorder="1"/>
    <xf numFmtId="2" fontId="11" fillId="0" borderId="2" xfId="11" applyNumberFormat="1" applyFont="1" applyBorder="1" applyAlignment="1">
      <alignment horizontal="center"/>
    </xf>
    <xf numFmtId="2" fontId="11" fillId="0" borderId="3" xfId="11" applyNumberFormat="1" applyFont="1" applyBorder="1" applyAlignment="1">
      <alignment horizontal="center"/>
    </xf>
    <xf numFmtId="2" fontId="11" fillId="0" borderId="3" xfId="11" applyNumberFormat="1" applyFont="1" applyBorder="1" applyAlignment="1" applyProtection="1">
      <alignment horizontal="center"/>
      <protection locked="0"/>
    </xf>
    <xf numFmtId="2" fontId="11" fillId="3" borderId="3" xfId="11" applyNumberFormat="1" applyFont="1" applyFill="1" applyBorder="1" applyAlignment="1">
      <alignment horizontal="center"/>
    </xf>
    <xf numFmtId="2" fontId="11" fillId="0" borderId="3" xfId="11"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0" xfId="9" applyNumberFormat="1" applyFont="1" applyFill="1" applyBorder="1" applyAlignment="1">
      <alignment horizontal="center"/>
    </xf>
    <xf numFmtId="2" fontId="11" fillId="0" borderId="4" xfId="0" applyNumberFormat="1" applyFont="1" applyFill="1" applyBorder="1" applyAlignment="1">
      <alignment horizontal="center" vertical="center"/>
    </xf>
    <xf numFmtId="0" fontId="11" fillId="0" borderId="0" xfId="16" applyFont="1" applyFill="1" applyBorder="1"/>
    <xf numFmtId="2" fontId="11" fillId="3" borderId="0" xfId="11" applyNumberFormat="1" applyFont="1" applyFill="1" applyBorder="1" applyAlignment="1">
      <alignment horizontal="center"/>
    </xf>
    <xf numFmtId="2" fontId="11" fillId="0" borderId="0" xfId="11" applyNumberFormat="1" applyFont="1" applyFill="1" applyBorder="1" applyAlignment="1">
      <alignment horizontal="center" vertical="center"/>
    </xf>
    <xf numFmtId="2" fontId="11" fillId="0" borderId="0" xfId="11" applyNumberFormat="1" applyFont="1" applyBorder="1" applyAlignment="1">
      <alignment horizontal="center"/>
    </xf>
    <xf numFmtId="2" fontId="11" fillId="3" borderId="4" xfId="11" applyNumberFormat="1" applyFont="1" applyFill="1" applyBorder="1" applyAlignment="1">
      <alignment horizontal="center"/>
    </xf>
    <xf numFmtId="0" fontId="26" fillId="0" borderId="2" xfId="14" applyFont="1" applyFill="1" applyBorder="1"/>
    <xf numFmtId="166" fontId="26" fillId="0" borderId="1" xfId="0" applyNumberFormat="1" applyFont="1" applyBorder="1"/>
    <xf numFmtId="0" fontId="26" fillId="0" borderId="0" xfId="0" applyFont="1" applyBorder="1"/>
    <xf numFmtId="166" fontId="26" fillId="0" borderId="0" xfId="0" applyNumberFormat="1" applyFont="1" applyBorder="1"/>
    <xf numFmtId="0" fontId="26" fillId="0" borderId="1" xfId="0" applyFont="1" applyBorder="1"/>
    <xf numFmtId="0" fontId="23" fillId="0" borderId="0" xfId="17" applyFont="1" applyFill="1" applyAlignment="1" applyProtection="1"/>
    <xf numFmtId="0" fontId="32" fillId="0" borderId="0" xfId="11" applyFont="1"/>
    <xf numFmtId="0" fontId="8" fillId="0" borderId="0" xfId="11" applyFont="1" applyAlignment="1">
      <alignment horizontal="right"/>
    </xf>
    <xf numFmtId="0" fontId="33" fillId="0" borderId="0" xfId="11" applyNumberFormat="1" applyFont="1" applyAlignment="1">
      <alignment horizontal="center"/>
    </xf>
    <xf numFmtId="0" fontId="32" fillId="0" borderId="0" xfId="11" applyNumberFormat="1" applyFont="1"/>
    <xf numFmtId="0" fontId="10" fillId="0" borderId="0" xfId="11" applyFont="1" applyAlignment="1">
      <alignment horizontal="right"/>
    </xf>
    <xf numFmtId="1" fontId="11" fillId="0" borderId="0" xfId="11" applyNumberFormat="1" applyFont="1" applyFill="1" applyAlignment="1">
      <alignment horizontal="left"/>
    </xf>
    <xf numFmtId="0" fontId="11" fillId="0" borderId="0" xfId="11" applyFont="1"/>
    <xf numFmtId="0" fontId="34" fillId="0" borderId="0" xfId="11" applyFont="1" applyAlignment="1">
      <alignment horizontal="center"/>
    </xf>
    <xf numFmtId="0" fontId="34" fillId="0" borderId="0" xfId="11" applyNumberFormat="1" applyFont="1" applyAlignment="1">
      <alignment horizontal="center"/>
    </xf>
    <xf numFmtId="0" fontId="10" fillId="0" borderId="0" xfId="11" applyNumberFormat="1" applyFont="1"/>
    <xf numFmtId="0" fontId="10" fillId="0" borderId="0" xfId="11" applyFont="1"/>
    <xf numFmtId="0" fontId="11" fillId="0" borderId="0" xfId="11" applyFont="1" applyAlignment="1">
      <alignment horizontal="right"/>
    </xf>
    <xf numFmtId="1" fontId="11" fillId="0" borderId="0" xfId="11" applyNumberFormat="1" applyFont="1" applyFill="1" applyAlignment="1">
      <alignment horizontal="center"/>
    </xf>
    <xf numFmtId="0" fontId="11" fillId="3" borderId="5" xfId="9" applyFont="1" applyFill="1" applyBorder="1" applyAlignment="1">
      <alignment horizontal="center" textRotation="90" wrapText="1"/>
    </xf>
    <xf numFmtId="0" fontId="11" fillId="3" borderId="1" xfId="9" applyFont="1" applyFill="1" applyBorder="1" applyAlignment="1">
      <alignment horizontal="center"/>
    </xf>
    <xf numFmtId="0" fontId="11" fillId="3" borderId="5" xfId="9" applyFont="1" applyFill="1" applyBorder="1" applyAlignment="1">
      <alignment horizontal="center"/>
    </xf>
    <xf numFmtId="0" fontId="34" fillId="0" borderId="0" xfId="11" applyFont="1"/>
    <xf numFmtId="0" fontId="34" fillId="0" borderId="0" xfId="11" applyNumberFormat="1" applyFont="1"/>
    <xf numFmtId="0" fontId="35" fillId="0" borderId="2" xfId="9" applyFont="1" applyFill="1" applyBorder="1"/>
    <xf numFmtId="0" fontId="11" fillId="0" borderId="2" xfId="11" applyFont="1" applyBorder="1" applyAlignment="1">
      <alignment horizontal="center"/>
    </xf>
    <xf numFmtId="0" fontId="11" fillId="0" borderId="1" xfId="11" applyFont="1" applyBorder="1" applyAlignment="1">
      <alignment horizontal="center"/>
    </xf>
    <xf numFmtId="0" fontId="34" fillId="0" borderId="0" xfId="11" applyFont="1" applyFill="1" applyAlignment="1">
      <alignment horizontal="center"/>
    </xf>
    <xf numFmtId="0" fontId="34" fillId="0" borderId="0" xfId="11" applyNumberFormat="1" applyFont="1" applyFill="1" applyAlignment="1">
      <alignment horizontal="center"/>
    </xf>
    <xf numFmtId="0" fontId="10" fillId="0" borderId="0" xfId="11" applyNumberFormat="1" applyFont="1" applyFill="1"/>
    <xf numFmtId="0" fontId="10" fillId="0" borderId="0" xfId="11" applyFont="1" applyFill="1"/>
    <xf numFmtId="0" fontId="37" fillId="0" borderId="0" xfId="11" applyFont="1" applyFill="1" applyAlignment="1">
      <alignment horizontal="center"/>
    </xf>
    <xf numFmtId="0" fontId="37" fillId="0" borderId="0" xfId="11" applyNumberFormat="1" applyFont="1" applyFill="1" applyAlignment="1">
      <alignment horizontal="center"/>
    </xf>
    <xf numFmtId="0" fontId="38" fillId="0" borderId="0" xfId="11" applyNumberFormat="1" applyFont="1" applyFill="1"/>
    <xf numFmtId="0" fontId="38" fillId="0" borderId="0" xfId="11" applyFont="1" applyFill="1"/>
    <xf numFmtId="9" fontId="11" fillId="0" borderId="1" xfId="9" applyNumberFormat="1" applyFont="1" applyBorder="1"/>
    <xf numFmtId="0" fontId="40" fillId="0" borderId="1" xfId="13" applyBorder="1" applyAlignment="1" applyProtection="1"/>
    <xf numFmtId="0" fontId="19" fillId="0" borderId="1" xfId="11" applyFont="1" applyBorder="1" applyAlignment="1">
      <alignment horizontal="left" vertical="center"/>
    </xf>
    <xf numFmtId="0" fontId="14" fillId="7" borderId="16" xfId="9" applyFont="1" applyFill="1" applyBorder="1" applyAlignment="1">
      <alignment horizontal="center"/>
    </xf>
    <xf numFmtId="9" fontId="11" fillId="0" borderId="6" xfId="9" applyNumberFormat="1" applyFont="1" applyBorder="1"/>
    <xf numFmtId="0" fontId="10" fillId="0" borderId="2" xfId="11" applyFont="1" applyFill="1" applyBorder="1"/>
    <xf numFmtId="0" fontId="34" fillId="0" borderId="3" xfId="11" applyFont="1" applyFill="1" applyBorder="1" applyAlignment="1">
      <alignment horizontal="center"/>
    </xf>
    <xf numFmtId="0" fontId="34" fillId="0" borderId="3" xfId="11" applyNumberFormat="1" applyFont="1" applyFill="1" applyBorder="1" applyAlignment="1">
      <alignment horizontal="center"/>
    </xf>
    <xf numFmtId="0" fontId="10" fillId="0" borderId="3" xfId="11" applyNumberFormat="1" applyFont="1" applyFill="1" applyBorder="1"/>
    <xf numFmtId="0" fontId="10" fillId="0" borderId="3" xfId="11" applyFont="1" applyFill="1" applyBorder="1"/>
    <xf numFmtId="0" fontId="34" fillId="0" borderId="5" xfId="11" applyNumberFormat="1" applyFont="1" applyFill="1" applyBorder="1" applyAlignment="1">
      <alignment horizontal="center"/>
    </xf>
    <xf numFmtId="0" fontId="19" fillId="0" borderId="1" xfId="0" applyFont="1" applyBorder="1" applyAlignment="1">
      <alignment horizontal="left"/>
    </xf>
    <xf numFmtId="0" fontId="19" fillId="0" borderId="1" xfId="11" applyFont="1" applyBorder="1" applyAlignment="1">
      <alignment horizontal="left"/>
    </xf>
    <xf numFmtId="0" fontId="19" fillId="0" borderId="1" xfId="0" applyFont="1" applyFill="1" applyBorder="1" applyAlignment="1">
      <alignment horizontal="left" vertical="center"/>
    </xf>
    <xf numFmtId="9" fontId="11" fillId="0" borderId="1" xfId="7" applyNumberFormat="1" applyFont="1" applyBorder="1" applyAlignment="1">
      <alignment horizontal="center"/>
    </xf>
    <xf numFmtId="0" fontId="12" fillId="0" borderId="0" xfId="9" applyFont="1" applyFill="1" applyBorder="1"/>
    <xf numFmtId="0" fontId="34" fillId="0" borderId="0" xfId="11" applyFont="1" applyBorder="1"/>
    <xf numFmtId="0" fontId="11" fillId="0" borderId="0" xfId="9" applyFont="1" applyFill="1" applyBorder="1" applyAlignment="1">
      <alignment horizontal="right"/>
    </xf>
    <xf numFmtId="0" fontId="40" fillId="0" borderId="13" xfId="13" applyBorder="1" applyAlignment="1" applyProtection="1"/>
    <xf numFmtId="0" fontId="23" fillId="3" borderId="0" xfId="13" applyFont="1" applyFill="1" applyAlignment="1" applyProtection="1"/>
    <xf numFmtId="0" fontId="23" fillId="0" borderId="0" xfId="13" applyFont="1" applyAlignment="1" applyProtection="1"/>
    <xf numFmtId="0" fontId="14" fillId="0" borderId="1" xfId="9" applyFont="1" applyFill="1" applyBorder="1"/>
    <xf numFmtId="2" fontId="14" fillId="0" borderId="1" xfId="9" applyNumberFormat="1" applyFont="1" applyFill="1" applyBorder="1" applyAlignment="1">
      <alignment horizontal="center"/>
    </xf>
    <xf numFmtId="0" fontId="14" fillId="0" borderId="2" xfId="9" applyFont="1" applyFill="1" applyBorder="1"/>
    <xf numFmtId="0" fontId="14" fillId="0" borderId="2" xfId="0" applyFont="1" applyFill="1" applyBorder="1"/>
    <xf numFmtId="0" fontId="11" fillId="0" borderId="8" xfId="0" applyFont="1" applyFill="1" applyBorder="1" applyAlignment="1">
      <alignment horizontal="left"/>
    </xf>
    <xf numFmtId="0" fontId="11" fillId="0" borderId="2" xfId="0" applyFont="1" applyFill="1" applyBorder="1" applyAlignment="1">
      <alignment horizontal="left"/>
    </xf>
    <xf numFmtId="2" fontId="11" fillId="0" borderId="2" xfId="18" applyNumberFormat="1" applyFont="1" applyFill="1" applyBorder="1" applyAlignment="1">
      <alignment horizontal="center"/>
    </xf>
    <xf numFmtId="2" fontId="11" fillId="0" borderId="1" xfId="18" applyNumberFormat="1" applyFont="1" applyFill="1" applyBorder="1" applyAlignment="1">
      <alignment horizontal="center"/>
    </xf>
    <xf numFmtId="2" fontId="11" fillId="0" borderId="9" xfId="18" applyNumberFormat="1" applyFont="1" applyFill="1" applyBorder="1" applyAlignment="1">
      <alignment horizontal="center"/>
    </xf>
    <xf numFmtId="2" fontId="11" fillId="0" borderId="8" xfId="18" applyNumberFormat="1" applyFont="1" applyBorder="1" applyAlignment="1">
      <alignment horizontal="center"/>
    </xf>
    <xf numFmtId="2" fontId="11" fillId="0" borderId="6" xfId="18" applyNumberFormat="1" applyFont="1" applyBorder="1" applyAlignment="1">
      <alignment horizontal="center"/>
    </xf>
    <xf numFmtId="2" fontId="11" fillId="0" borderId="2" xfId="18" applyNumberFormat="1" applyFont="1" applyBorder="1" applyAlignment="1">
      <alignment horizontal="center"/>
    </xf>
    <xf numFmtId="2" fontId="11" fillId="0" borderId="1" xfId="18" applyNumberFormat="1" applyFont="1" applyBorder="1" applyAlignment="1">
      <alignment horizontal="center"/>
    </xf>
    <xf numFmtId="0" fontId="11" fillId="0" borderId="1" xfId="11" applyFont="1" applyFill="1" applyBorder="1"/>
    <xf numFmtId="0" fontId="16" fillId="0" borderId="1" xfId="11" applyFont="1" applyFill="1" applyBorder="1" applyAlignment="1">
      <alignment horizontal="center"/>
    </xf>
    <xf numFmtId="0" fontId="11" fillId="0" borderId="0" xfId="11" applyFont="1" applyFill="1"/>
    <xf numFmtId="0" fontId="16" fillId="0" borderId="0" xfId="11" applyFont="1" applyFill="1" applyAlignment="1">
      <alignment horizontal="center"/>
    </xf>
    <xf numFmtId="0" fontId="16" fillId="0" borderId="0" xfId="11" applyFont="1" applyAlignment="1">
      <alignment horizontal="center"/>
    </xf>
    <xf numFmtId="0" fontId="37" fillId="0" borderId="0" xfId="11" applyFont="1" applyFill="1" applyBorder="1" applyAlignment="1">
      <alignment horizontal="center"/>
    </xf>
    <xf numFmtId="0" fontId="37" fillId="0" borderId="0" xfId="11" applyNumberFormat="1" applyFont="1" applyFill="1" applyBorder="1" applyAlignment="1">
      <alignment horizontal="center"/>
    </xf>
    <xf numFmtId="0" fontId="38" fillId="0" borderId="0" xfId="11" applyNumberFormat="1" applyFont="1" applyFill="1" applyBorder="1"/>
    <xf numFmtId="0" fontId="34" fillId="0" borderId="0" xfId="11" applyFont="1" applyFill="1" applyBorder="1" applyAlignment="1">
      <alignment horizontal="center"/>
    </xf>
    <xf numFmtId="0" fontId="34" fillId="0" borderId="0" xfId="11" applyNumberFormat="1" applyFont="1" applyFill="1" applyBorder="1" applyAlignment="1">
      <alignment horizontal="center"/>
    </xf>
    <xf numFmtId="0" fontId="10" fillId="0" borderId="0" xfId="11" applyNumberFormat="1" applyFont="1" applyFill="1" applyBorder="1"/>
    <xf numFmtId="2" fontId="11" fillId="0" borderId="5" xfId="0" applyNumberFormat="1" applyFont="1" applyFill="1" applyBorder="1" applyAlignment="1">
      <alignment horizontal="center" vertical="center"/>
    </xf>
    <xf numFmtId="0" fontId="19" fillId="0" borderId="0" xfId="0" applyFont="1" applyFill="1"/>
    <xf numFmtId="0" fontId="34" fillId="0" borderId="0" xfId="11" applyFont="1" applyFill="1" applyAlignment="1">
      <alignment horizontal="left"/>
    </xf>
    <xf numFmtId="2" fontId="11" fillId="0" borderId="1" xfId="0" applyNumberFormat="1" applyFont="1" applyBorder="1" applyAlignment="1">
      <alignment horizontal="center" vertical="center"/>
    </xf>
    <xf numFmtId="0" fontId="9" fillId="0" borderId="0" xfId="9" applyFont="1" applyAlignment="1">
      <alignment horizontal="center"/>
    </xf>
    <xf numFmtId="2" fontId="9" fillId="0" borderId="0" xfId="9" applyNumberFormat="1" applyFont="1" applyAlignment="1">
      <alignment horizontal="center"/>
    </xf>
    <xf numFmtId="2" fontId="26" fillId="0" borderId="1" xfId="0" applyNumberFormat="1" applyFont="1" applyBorder="1"/>
    <xf numFmtId="2" fontId="40" fillId="0" borderId="1" xfId="13" applyNumberFormat="1" applyBorder="1" applyAlignment="1" applyProtection="1"/>
    <xf numFmtId="15" fontId="19" fillId="0" borderId="1" xfId="0" applyNumberFormat="1" applyFont="1" applyBorder="1"/>
    <xf numFmtId="0" fontId="19" fillId="0" borderId="1" xfId="0" applyFont="1" applyBorder="1" applyAlignment="1">
      <alignment wrapText="1"/>
    </xf>
    <xf numFmtId="0" fontId="41" fillId="7" borderId="1" xfId="21" applyFont="1" applyFill="1" applyBorder="1"/>
    <xf numFmtId="0" fontId="41" fillId="14" borderId="1" xfId="21" applyFont="1" applyFill="1" applyBorder="1"/>
    <xf numFmtId="0" fontId="2" fillId="0" borderId="0" xfId="21"/>
    <xf numFmtId="0" fontId="39" fillId="0" borderId="0" xfId="19" applyFill="1" applyBorder="1" applyAlignment="1" applyProtection="1"/>
    <xf numFmtId="15" fontId="2" fillId="0" borderId="0" xfId="21" applyNumberFormat="1"/>
    <xf numFmtId="0" fontId="26" fillId="0" borderId="2" xfId="14" applyFont="1" applyBorder="1"/>
    <xf numFmtId="9" fontId="2" fillId="0" borderId="1" xfId="21" applyNumberFormat="1" applyBorder="1"/>
    <xf numFmtId="0" fontId="26" fillId="0" borderId="0" xfId="14" applyFont="1"/>
    <xf numFmtId="0" fontId="42" fillId="0" borderId="1" xfId="21" applyFont="1" applyBorder="1"/>
    <xf numFmtId="2" fontId="11" fillId="0" borderId="7" xfId="18" applyNumberFormat="1" applyFont="1" applyFill="1" applyBorder="1" applyAlignment="1">
      <alignment horizontal="center"/>
    </xf>
    <xf numFmtId="0" fontId="43" fillId="0" borderId="0" xfId="11" applyFont="1"/>
    <xf numFmtId="0" fontId="43" fillId="0" borderId="1" xfId="11" applyFont="1" applyBorder="1"/>
    <xf numFmtId="9" fontId="11" fillId="0" borderId="1" xfId="7" applyFont="1" applyBorder="1"/>
    <xf numFmtId="0" fontId="11" fillId="0" borderId="2" xfId="9" applyFont="1" applyFill="1" applyBorder="1" applyAlignment="1">
      <alignment horizontal="center"/>
    </xf>
    <xf numFmtId="9" fontId="11" fillId="0" borderId="2" xfId="7" applyNumberFormat="1" applyFont="1" applyBorder="1" applyAlignment="1">
      <alignment horizontal="center"/>
    </xf>
    <xf numFmtId="2" fontId="11" fillId="0" borderId="2" xfId="0" applyNumberFormat="1" applyFont="1" applyBorder="1" applyAlignment="1">
      <alignment horizontal="center" vertical="center"/>
    </xf>
    <xf numFmtId="2" fontId="14" fillId="0" borderId="2" xfId="9" applyNumberFormat="1" applyFont="1" applyFill="1" applyBorder="1" applyAlignment="1">
      <alignment horizontal="center"/>
    </xf>
    <xf numFmtId="2" fontId="11" fillId="0" borderId="2" xfId="11" applyNumberFormat="1" applyFont="1" applyFill="1" applyBorder="1" applyAlignment="1">
      <alignment horizontal="center" vertical="center"/>
    </xf>
    <xf numFmtId="2" fontId="11" fillId="0" borderId="2" xfId="11" applyNumberFormat="1" applyFont="1" applyFill="1" applyBorder="1" applyAlignment="1">
      <alignment horizontal="center"/>
    </xf>
    <xf numFmtId="1" fontId="14" fillId="0" borderId="8" xfId="9" applyNumberFormat="1" applyFont="1" applyBorder="1" applyAlignment="1">
      <alignment horizontal="center"/>
    </xf>
    <xf numFmtId="0" fontId="14" fillId="5" borderId="2" xfId="9" applyFont="1" applyFill="1" applyBorder="1" applyAlignment="1">
      <alignment horizontal="center"/>
    </xf>
    <xf numFmtId="1" fontId="14" fillId="0" borderId="2" xfId="0" applyNumberFormat="1" applyFont="1" applyFill="1" applyBorder="1" applyAlignment="1">
      <alignment horizontal="center"/>
    </xf>
    <xf numFmtId="0" fontId="14" fillId="5" borderId="2" xfId="0" applyFont="1" applyFill="1" applyBorder="1" applyAlignment="1">
      <alignment horizontal="center"/>
    </xf>
    <xf numFmtId="9" fontId="11" fillId="0" borderId="8" xfId="9" applyNumberFormat="1" applyFont="1" applyBorder="1"/>
    <xf numFmtId="9" fontId="11" fillId="0" borderId="2" xfId="9" applyNumberFormat="1" applyFont="1" applyBorder="1"/>
    <xf numFmtId="2" fontId="14" fillId="0" borderId="2" xfId="11" applyNumberFormat="1" applyFont="1" applyFill="1" applyBorder="1" applyAlignment="1">
      <alignment horizontal="center"/>
    </xf>
    <xf numFmtId="2" fontId="14" fillId="0" borderId="2" xfId="0" applyNumberFormat="1" applyFont="1" applyFill="1" applyBorder="1" applyAlignment="1">
      <alignment horizontal="center"/>
    </xf>
    <xf numFmtId="2" fontId="11" fillId="0" borderId="2" xfId="0" applyNumberFormat="1" applyFont="1" applyFill="1" applyBorder="1" applyAlignment="1">
      <alignment horizontal="center"/>
    </xf>
    <xf numFmtId="2" fontId="11" fillId="3" borderId="1" xfId="11" applyNumberFormat="1" applyFont="1" applyFill="1" applyBorder="1" applyAlignment="1">
      <alignment horizontal="center"/>
    </xf>
    <xf numFmtId="0" fontId="10" fillId="0" borderId="1" xfId="11" applyFont="1" applyFill="1" applyBorder="1"/>
    <xf numFmtId="2" fontId="11" fillId="0" borderId="1" xfId="0" applyNumberFormat="1" applyFont="1" applyBorder="1" applyAlignment="1">
      <alignment horizontal="center"/>
    </xf>
    <xf numFmtId="2" fontId="11" fillId="0" borderId="3" xfId="0" applyNumberFormat="1" applyFont="1" applyBorder="1" applyAlignment="1">
      <alignment horizontal="center" vertical="center"/>
    </xf>
    <xf numFmtId="2" fontId="11" fillId="0" borderId="1" xfId="9" applyNumberFormat="1" applyFont="1" applyBorder="1" applyAlignment="1">
      <alignment horizontal="center"/>
    </xf>
    <xf numFmtId="0" fontId="11" fillId="0" borderId="0" xfId="14" applyFont="1"/>
    <xf numFmtId="2" fontId="11" fillId="0" borderId="0" xfId="14" applyNumberFormat="1" applyFont="1" applyAlignment="1">
      <alignment horizontal="center"/>
    </xf>
    <xf numFmtId="15" fontId="19" fillId="0" borderId="1" xfId="0" applyNumberFormat="1" applyFont="1" applyBorder="1" applyAlignment="1">
      <alignment horizontal="center" vertical="center"/>
    </xf>
    <xf numFmtId="0" fontId="19" fillId="0" borderId="1" xfId="0" applyFont="1" applyBorder="1" applyAlignment="1">
      <alignment vertical="center"/>
    </xf>
    <xf numFmtId="0" fontId="11" fillId="0" borderId="2" xfId="9" applyFont="1" applyFill="1" applyBorder="1" applyAlignment="1">
      <alignment horizontal="right"/>
    </xf>
    <xf numFmtId="2" fontId="11" fillId="0" borderId="1" xfId="22" applyNumberFormat="1" applyFont="1" applyBorder="1" applyAlignment="1">
      <alignment horizontal="center"/>
    </xf>
    <xf numFmtId="0" fontId="34" fillId="0" borderId="0" xfId="11" applyFont="1" applyAlignment="1">
      <alignment horizontal="left"/>
    </xf>
    <xf numFmtId="2" fontId="11" fillId="0" borderId="0" xfId="9" applyNumberFormat="1" applyFont="1" applyAlignment="1">
      <alignment horizontal="center"/>
    </xf>
    <xf numFmtId="2" fontId="11" fillId="0" borderId="0" xfId="11" applyNumberFormat="1" applyFont="1" applyAlignment="1">
      <alignment horizontal="center" vertical="center"/>
    </xf>
    <xf numFmtId="2" fontId="11" fillId="0" borderId="5" xfId="11" applyNumberFormat="1" applyFont="1" applyBorder="1" applyAlignment="1">
      <alignment horizontal="center" vertical="center"/>
    </xf>
    <xf numFmtId="2" fontId="11" fillId="0" borderId="2" xfId="11" applyNumberFormat="1" applyFont="1" applyBorder="1" applyAlignment="1">
      <alignment horizontal="center" vertical="center"/>
    </xf>
    <xf numFmtId="0" fontId="12" fillId="0" borderId="2" xfId="14" applyFont="1" applyBorder="1"/>
    <xf numFmtId="2" fontId="11" fillId="0" borderId="7" xfId="22" applyNumberFormat="1" applyFont="1" applyBorder="1" applyAlignment="1">
      <alignment horizontal="center"/>
    </xf>
    <xf numFmtId="2" fontId="11" fillId="0" borderId="9" xfId="22" applyNumberFormat="1" applyFont="1" applyBorder="1" applyAlignment="1">
      <alignment horizontal="center"/>
    </xf>
    <xf numFmtId="0" fontId="38" fillId="0" borderId="0" xfId="11" applyFont="1"/>
    <xf numFmtId="0" fontId="37" fillId="0" borderId="0" xfId="11" applyFont="1" applyAlignment="1">
      <alignment horizontal="center"/>
    </xf>
    <xf numFmtId="2" fontId="11" fillId="0" borderId="2" xfId="22" applyNumberFormat="1" applyFont="1" applyBorder="1" applyAlignment="1">
      <alignment horizontal="center"/>
    </xf>
    <xf numFmtId="0" fontId="12" fillId="0" borderId="2" xfId="9" applyFont="1" applyBorder="1"/>
    <xf numFmtId="0" fontId="11" fillId="0" borderId="2" xfId="9" applyFont="1" applyBorder="1" applyAlignment="1">
      <alignment horizontal="right"/>
    </xf>
    <xf numFmtId="0" fontId="11" fillId="0" borderId="1" xfId="9" applyFont="1" applyBorder="1" applyAlignment="1">
      <alignment horizontal="right"/>
    </xf>
    <xf numFmtId="0" fontId="12" fillId="0" borderId="0" xfId="9" applyFont="1"/>
    <xf numFmtId="1" fontId="11" fillId="0" borderId="0" xfId="11" applyNumberFormat="1" applyFont="1" applyAlignment="1">
      <alignment horizontal="left"/>
    </xf>
    <xf numFmtId="1" fontId="11" fillId="0" borderId="0" xfId="11" applyNumberFormat="1" applyFont="1" applyAlignment="1">
      <alignment horizontal="center"/>
    </xf>
    <xf numFmtId="0" fontId="33" fillId="0" borderId="0" xfId="11" applyFont="1" applyAlignment="1">
      <alignment horizontal="center"/>
    </xf>
    <xf numFmtId="2" fontId="11" fillId="0" borderId="6" xfId="22" applyNumberFormat="1" applyFont="1" applyBorder="1" applyAlignment="1">
      <alignment horizontal="center"/>
    </xf>
    <xf numFmtId="2" fontId="11" fillId="0" borderId="3" xfId="11" applyNumberFormat="1" applyFont="1" applyBorder="1" applyAlignment="1">
      <alignment horizontal="center" vertical="center"/>
    </xf>
    <xf numFmtId="9" fontId="11" fillId="0" borderId="23" xfId="7" applyFont="1" applyFill="1" applyBorder="1" applyAlignment="1">
      <alignment horizontal="center"/>
    </xf>
    <xf numFmtId="0" fontId="44" fillId="0" borderId="0" xfId="17" applyFont="1" applyFill="1" applyAlignment="1" applyProtection="1"/>
    <xf numFmtId="0" fontId="11" fillId="0" borderId="0" xfId="11" applyFont="1" applyAlignment="1">
      <alignment horizontal="left"/>
    </xf>
    <xf numFmtId="166" fontId="11" fillId="0" borderId="0" xfId="11" applyNumberFormat="1" applyFont="1" applyAlignment="1">
      <alignment horizontal="left"/>
    </xf>
    <xf numFmtId="0" fontId="27" fillId="0" borderId="0" xfId="20" applyFont="1" applyAlignment="1">
      <alignment horizontal="right" vertical="center"/>
    </xf>
    <xf numFmtId="15" fontId="27" fillId="0" borderId="0" xfId="20" applyNumberFormat="1" applyFont="1" applyAlignment="1">
      <alignment horizontal="left" vertical="center"/>
    </xf>
    <xf numFmtId="0" fontId="18" fillId="0" borderId="0" xfId="23" applyAlignment="1" applyProtection="1">
      <alignment horizontal="center" vertical="center"/>
    </xf>
    <xf numFmtId="0" fontId="6" fillId="0" borderId="0" xfId="20" applyFont="1"/>
    <xf numFmtId="0" fontId="6" fillId="0" borderId="0" xfId="20" applyFont="1" applyAlignment="1">
      <alignment horizontal="center" vertical="center" wrapText="1"/>
    </xf>
    <xf numFmtId="0" fontId="28" fillId="0" borderId="0" xfId="20" applyFont="1" applyAlignment="1">
      <alignment horizontal="center" vertical="center"/>
    </xf>
    <xf numFmtId="0" fontId="45" fillId="0" borderId="0" xfId="20" applyFont="1" applyAlignment="1">
      <alignment horizontal="center" vertical="center" wrapText="1"/>
    </xf>
    <xf numFmtId="0" fontId="48" fillId="0" borderId="7" xfId="15" applyFont="1" applyBorder="1" applyAlignment="1">
      <alignment horizontal="center" vertical="center" textRotation="180"/>
    </xf>
    <xf numFmtId="0" fontId="48" fillId="7" borderId="7" xfId="15" applyFont="1" applyFill="1" applyBorder="1" applyAlignment="1">
      <alignment horizontal="center" vertical="center" textRotation="180"/>
    </xf>
    <xf numFmtId="0" fontId="49" fillId="0" borderId="25" xfId="20" applyFont="1" applyBorder="1"/>
    <xf numFmtId="0" fontId="49" fillId="0" borderId="26" xfId="20" applyFont="1" applyBorder="1"/>
    <xf numFmtId="0" fontId="49" fillId="0" borderId="26" xfId="15" applyFont="1" applyBorder="1" applyAlignment="1">
      <alignment horizontal="center" vertical="center"/>
    </xf>
    <xf numFmtId="0" fontId="49" fillId="0" borderId="24" xfId="15" applyFont="1" applyBorder="1" applyAlignment="1">
      <alignment horizontal="center" vertical="center"/>
    </xf>
    <xf numFmtId="0" fontId="3" fillId="0" borderId="0" xfId="20"/>
    <xf numFmtId="0" fontId="49" fillId="0" borderId="13" xfId="20" applyFont="1" applyBorder="1"/>
    <xf numFmtId="0" fontId="49" fillId="0" borderId="1" xfId="20" applyFont="1" applyBorder="1"/>
    <xf numFmtId="0" fontId="49" fillId="0" borderId="1" xfId="15" applyFont="1" applyBorder="1" applyAlignment="1">
      <alignment horizontal="center" vertical="center"/>
    </xf>
    <xf numFmtId="0" fontId="49" fillId="0" borderId="14" xfId="15" applyFont="1" applyBorder="1" applyAlignment="1">
      <alignment horizontal="center" vertical="center"/>
    </xf>
    <xf numFmtId="0" fontId="29" fillId="13" borderId="0" xfId="20" applyFont="1" applyFill="1"/>
    <xf numFmtId="0" fontId="49" fillId="0" borderId="46" xfId="20" applyFont="1" applyBorder="1"/>
    <xf numFmtId="0" fontId="49" fillId="0" borderId="47" xfId="20" applyFont="1" applyBorder="1" applyAlignment="1">
      <alignment wrapText="1"/>
    </xf>
    <xf numFmtId="0" fontId="49" fillId="0" borderId="47" xfId="15" applyFont="1" applyBorder="1" applyAlignment="1">
      <alignment horizontal="center" vertical="center"/>
    </xf>
    <xf numFmtId="0" fontId="49" fillId="0" borderId="48" xfId="15" applyFont="1" applyBorder="1" applyAlignment="1">
      <alignment horizontal="center" vertical="center"/>
    </xf>
    <xf numFmtId="0" fontId="49" fillId="0" borderId="1" xfId="20" applyFont="1" applyBorder="1" applyAlignment="1">
      <alignment wrapText="1"/>
    </xf>
    <xf numFmtId="0" fontId="22" fillId="0" borderId="39" xfId="0" applyFont="1" applyBorder="1" applyAlignment="1">
      <alignment horizontal="center"/>
    </xf>
    <xf numFmtId="0" fontId="12" fillId="0" borderId="1" xfId="0" applyFont="1" applyBorder="1" applyAlignment="1">
      <alignment horizontal="center"/>
    </xf>
    <xf numFmtId="0" fontId="11" fillId="0" borderId="2" xfId="9" applyFont="1" applyBorder="1" applyAlignment="1">
      <alignment horizontal="center"/>
    </xf>
    <xf numFmtId="0" fontId="11" fillId="0" borderId="3" xfId="9" applyFont="1" applyBorder="1" applyAlignment="1">
      <alignment horizontal="center"/>
    </xf>
    <xf numFmtId="0" fontId="11" fillId="0" borderId="5" xfId="9" applyFont="1" applyBorder="1" applyAlignment="1">
      <alignment horizontal="center"/>
    </xf>
    <xf numFmtId="0" fontId="11" fillId="0" borderId="0" xfId="11" applyFont="1" applyAlignment="1">
      <alignment horizontal="center"/>
    </xf>
    <xf numFmtId="0" fontId="22" fillId="0" borderId="37" xfId="0" applyFont="1" applyBorder="1" applyAlignment="1">
      <alignment horizontal="center"/>
    </xf>
    <xf numFmtId="0" fontId="22" fillId="0" borderId="39" xfId="0" applyFont="1" applyBorder="1" applyAlignment="1">
      <alignment horizontal="center"/>
    </xf>
    <xf numFmtId="0" fontId="12" fillId="0" borderId="1" xfId="0" applyFont="1" applyBorder="1" applyAlignment="1">
      <alignment horizontal="center"/>
    </xf>
    <xf numFmtId="0" fontId="12" fillId="8" borderId="26" xfId="11" applyFont="1" applyFill="1" applyBorder="1" applyAlignment="1">
      <alignment horizontal="center"/>
    </xf>
    <xf numFmtId="0" fontId="12" fillId="4" borderId="26" xfId="11" applyFont="1" applyFill="1" applyBorder="1" applyAlignment="1">
      <alignment horizontal="center"/>
    </xf>
    <xf numFmtId="0" fontId="12" fillId="9" borderId="26" xfId="11" applyFont="1" applyFill="1" applyBorder="1" applyAlignment="1">
      <alignment horizontal="center"/>
    </xf>
    <xf numFmtId="0" fontId="12" fillId="9" borderId="24" xfId="11" applyFont="1" applyFill="1" applyBorder="1" applyAlignment="1">
      <alignment horizontal="center"/>
    </xf>
    <xf numFmtId="0" fontId="8" fillId="3" borderId="0" xfId="0" applyFont="1" applyFill="1" applyBorder="1" applyAlignment="1">
      <alignment horizontal="left"/>
    </xf>
    <xf numFmtId="0" fontId="12" fillId="7" borderId="12" xfId="11" applyFont="1" applyFill="1" applyBorder="1" applyAlignment="1">
      <alignment horizontal="left"/>
    </xf>
    <xf numFmtId="0" fontId="12" fillId="7" borderId="22" xfId="11" applyFont="1" applyFill="1" applyBorder="1" applyAlignment="1">
      <alignment horizontal="left"/>
    </xf>
    <xf numFmtId="0" fontId="12" fillId="6" borderId="12" xfId="9" applyFont="1" applyFill="1" applyBorder="1" applyAlignment="1">
      <alignment horizontal="left"/>
    </xf>
    <xf numFmtId="0" fontId="12" fillId="6" borderId="27" xfId="9" applyFont="1" applyFill="1" applyBorder="1" applyAlignment="1">
      <alignment horizontal="left"/>
    </xf>
    <xf numFmtId="0" fontId="12" fillId="6" borderId="22" xfId="9" applyFont="1" applyFill="1" applyBorder="1" applyAlignment="1">
      <alignment horizontal="left"/>
    </xf>
    <xf numFmtId="0" fontId="11" fillId="0" borderId="9" xfId="9" applyFont="1" applyFill="1" applyBorder="1" applyAlignment="1">
      <alignment horizontal="center"/>
    </xf>
    <xf numFmtId="0" fontId="11" fillId="0" borderId="10" xfId="9" applyFont="1" applyFill="1" applyBorder="1" applyAlignment="1">
      <alignment horizontal="center"/>
    </xf>
    <xf numFmtId="0" fontId="11" fillId="0" borderId="11" xfId="9" applyFont="1" applyFill="1" applyBorder="1" applyAlignment="1">
      <alignment horizontal="center"/>
    </xf>
    <xf numFmtId="0" fontId="15" fillId="7" borderId="18" xfId="11" applyFont="1" applyFill="1" applyBorder="1" applyAlignment="1">
      <alignment horizontal="left"/>
    </xf>
    <xf numFmtId="0" fontId="15" fillId="7" borderId="19" xfId="11" applyFont="1" applyFill="1" applyBorder="1" applyAlignment="1">
      <alignment horizontal="left"/>
    </xf>
    <xf numFmtId="166" fontId="8" fillId="0" borderId="0" xfId="9" applyNumberFormat="1" applyFont="1" applyFill="1" applyBorder="1" applyAlignment="1" applyProtection="1">
      <alignment horizontal="left"/>
      <protection locked="0"/>
    </xf>
    <xf numFmtId="166" fontId="9" fillId="0" borderId="0" xfId="9" applyNumberFormat="1" applyFont="1" applyFill="1" applyBorder="1" applyAlignment="1">
      <alignment horizontal="left"/>
    </xf>
    <xf numFmtId="0" fontId="9" fillId="0" borderId="0" xfId="9" applyFont="1" applyFill="1" applyBorder="1" applyAlignment="1">
      <alignment horizontal="left"/>
    </xf>
    <xf numFmtId="0" fontId="11" fillId="0" borderId="9" xfId="9" applyFont="1" applyBorder="1" applyAlignment="1">
      <alignment horizontal="center"/>
    </xf>
    <xf numFmtId="0" fontId="11" fillId="0" borderId="10" xfId="9" applyFont="1" applyBorder="1" applyAlignment="1">
      <alignment horizontal="center"/>
    </xf>
    <xf numFmtId="0" fontId="11" fillId="0" borderId="11" xfId="9" applyFont="1" applyBorder="1" applyAlignment="1">
      <alignment horizontal="center"/>
    </xf>
    <xf numFmtId="0" fontId="11" fillId="0" borderId="2" xfId="9" applyFont="1" applyBorder="1" applyAlignment="1">
      <alignment horizontal="center"/>
    </xf>
    <xf numFmtId="0" fontId="11" fillId="0" borderId="3" xfId="9" applyFont="1" applyBorder="1" applyAlignment="1">
      <alignment horizontal="center"/>
    </xf>
    <xf numFmtId="0" fontId="11" fillId="0" borderId="5" xfId="9" applyFont="1" applyBorder="1" applyAlignment="1">
      <alignment horizontal="center"/>
    </xf>
    <xf numFmtId="0" fontId="8" fillId="3" borderId="0" xfId="3" applyFont="1" applyFill="1" applyBorder="1" applyAlignment="1">
      <alignment horizontal="left"/>
    </xf>
    <xf numFmtId="0" fontId="8" fillId="3" borderId="0" xfId="9" applyFont="1" applyFill="1" applyBorder="1" applyAlignment="1">
      <alignment horizontal="left"/>
    </xf>
    <xf numFmtId="0" fontId="11" fillId="0" borderId="2"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15" fillId="6" borderId="12" xfId="9" applyFont="1" applyFill="1" applyBorder="1" applyAlignment="1">
      <alignment horizontal="left"/>
    </xf>
    <xf numFmtId="0" fontId="15" fillId="6" borderId="27" xfId="9" applyFont="1" applyFill="1" applyBorder="1" applyAlignment="1">
      <alignment horizontal="left"/>
    </xf>
    <xf numFmtId="0" fontId="15" fillId="6" borderId="22" xfId="9" applyFont="1" applyFill="1" applyBorder="1" applyAlignment="1">
      <alignment horizontal="left"/>
    </xf>
    <xf numFmtId="0" fontId="15" fillId="7" borderId="12" xfId="11" applyFont="1" applyFill="1" applyBorder="1" applyAlignment="1">
      <alignment horizontal="left"/>
    </xf>
    <xf numFmtId="0" fontId="15" fillId="7" borderId="22" xfId="11" applyFont="1" applyFill="1" applyBorder="1" applyAlignment="1">
      <alignment horizontal="left"/>
    </xf>
    <xf numFmtId="0" fontId="11" fillId="0" borderId="9" xfId="0" applyFont="1" applyBorder="1" applyAlignment="1">
      <alignment horizontal="center"/>
    </xf>
    <xf numFmtId="0" fontId="11" fillId="0" borderId="11" xfId="0" applyFont="1" applyBorder="1" applyAlignment="1">
      <alignment horizontal="center"/>
    </xf>
    <xf numFmtId="0" fontId="11" fillId="0" borderId="10" xfId="0" applyFont="1" applyBorder="1" applyAlignment="1">
      <alignment horizontal="center"/>
    </xf>
    <xf numFmtId="0" fontId="8" fillId="0" borderId="0" xfId="11" applyFont="1" applyAlignment="1">
      <alignment horizontal="left"/>
    </xf>
    <xf numFmtId="166" fontId="8" fillId="0" borderId="0" xfId="11" applyNumberFormat="1" applyFont="1" applyAlignment="1">
      <alignment horizontal="left"/>
    </xf>
    <xf numFmtId="0" fontId="11" fillId="0" borderId="0" xfId="11" applyFont="1" applyAlignment="1">
      <alignment horizontal="center"/>
    </xf>
    <xf numFmtId="0" fontId="47" fillId="0" borderId="42" xfId="20" applyFont="1" applyBorder="1" applyAlignment="1">
      <alignment horizontal="center"/>
    </xf>
    <xf numFmtId="0" fontId="46" fillId="15" borderId="43" xfId="15" applyFont="1" applyFill="1" applyBorder="1" applyAlignment="1">
      <alignment horizontal="center" vertical="center" textRotation="180"/>
    </xf>
    <xf numFmtId="0" fontId="46" fillId="15" borderId="44" xfId="15" applyFont="1" applyFill="1" applyBorder="1" applyAlignment="1">
      <alignment horizontal="center" vertical="center" textRotation="180"/>
    </xf>
    <xf numFmtId="0" fontId="46" fillId="15" borderId="45" xfId="15" applyFont="1" applyFill="1" applyBorder="1" applyAlignment="1">
      <alignment horizontal="center" vertical="center" textRotation="180"/>
    </xf>
  </cellXfs>
  <cellStyles count="24">
    <cellStyle name="Comma" xfId="1" builtinId="3"/>
    <cellStyle name="Comma 2" xfId="2" xr:uid="{00000000-0005-0000-0000-000001000000}"/>
    <cellStyle name="Comma 2 2" xfId="10" xr:uid="{00000000-0005-0000-0000-000002000000}"/>
    <cellStyle name="Hyperlink" xfId="13" builtinId="8" customBuiltin="1"/>
    <cellStyle name="Hyperlink 2" xfId="23" xr:uid="{00000000-0005-0000-0000-000004000000}"/>
    <cellStyle name="Hyperlink 2 2" xfId="19" xr:uid="{00000000-0005-0000-0000-000005000000}"/>
    <cellStyle name="Hyperlink 3" xfId="17" xr:uid="{00000000-0005-0000-0000-000006000000}"/>
    <cellStyle name="Normal" xfId="0" builtinId="0"/>
    <cellStyle name="Normal 2" xfId="3" xr:uid="{00000000-0005-0000-0000-000008000000}"/>
    <cellStyle name="Normal 2 2" xfId="11" xr:uid="{00000000-0005-0000-0000-000009000000}"/>
    <cellStyle name="Normal 3" xfId="9" xr:uid="{00000000-0005-0000-0000-00000A000000}"/>
    <cellStyle name="Normal 3 2" xfId="14" xr:uid="{00000000-0005-0000-0000-00000B000000}"/>
    <cellStyle name="Normal 3 2 2" xfId="16" xr:uid="{00000000-0005-0000-0000-00000C000000}"/>
    <cellStyle name="Normal 4" xfId="15" xr:uid="{00000000-0005-0000-0000-00000D000000}"/>
    <cellStyle name="Normal 5" xfId="18" xr:uid="{00000000-0005-0000-0000-00000E000000}"/>
    <cellStyle name="Normal 5 3" xfId="22" xr:uid="{00000000-0005-0000-0000-00000F000000}"/>
    <cellStyle name="Normal 6" xfId="21" xr:uid="{00000000-0005-0000-0000-000010000000}"/>
    <cellStyle name="Normal 7" xfId="20" xr:uid="{00000000-0005-0000-0000-000011000000}"/>
    <cellStyle name="Normal_PREDICTED READINESS CALCULATOR (FRP GNFPP)" xfId="4" xr:uid="{00000000-0005-0000-0000-000012000000}"/>
    <cellStyle name="Normal1" xfId="5" xr:uid="{00000000-0005-0000-0000-000013000000}"/>
    <cellStyle name="Normal2" xfId="6" xr:uid="{00000000-0005-0000-0000-000014000000}"/>
    <cellStyle name="Percent" xfId="7" builtinId="5"/>
    <cellStyle name="Percent 2" xfId="8" xr:uid="{00000000-0005-0000-0000-000016000000}"/>
    <cellStyle name="Percent 2 2" xfId="12" xr:uid="{00000000-0005-0000-0000-000017000000}"/>
  </cellStyles>
  <dxfs count="331">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7979"/>
      </font>
    </dxf>
    <dxf>
      <font>
        <color rgb="FF66FF66"/>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7979"/>
      </font>
    </dxf>
    <dxf>
      <font>
        <color rgb="FF66FF66"/>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7979"/>
      </font>
    </dxf>
    <dxf>
      <font>
        <color rgb="FF66FF66"/>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s>
  <tableStyles count="0" defaultTableStyle="TableStyleMedium9" defaultPivotStyle="PivotStyleLight16"/>
  <colors>
    <mruColors>
      <color rgb="FFFFFF99"/>
      <color rgb="FF66FF66"/>
      <color rgb="FFFF7979"/>
      <color rgb="FFFFCC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showGridLines="0" tabSelected="1" workbookViewId="0">
      <selection activeCell="A13" sqref="A13"/>
    </sheetView>
  </sheetViews>
  <sheetFormatPr defaultRowHeight="15" x14ac:dyDescent="0.25"/>
  <cols>
    <col min="1" max="1" width="57.85546875" style="135" bestFit="1" customWidth="1"/>
    <col min="2" max="2" width="15.42578125" style="135" customWidth="1"/>
    <col min="3" max="3" width="5.7109375" style="135" customWidth="1"/>
    <col min="4" max="4" width="11.42578125" style="135" customWidth="1"/>
    <col min="5" max="16384" width="9.140625" style="135"/>
  </cols>
  <sheetData>
    <row r="1" spans="1:13" x14ac:dyDescent="0.25">
      <c r="A1" s="423" t="s">
        <v>0</v>
      </c>
      <c r="B1" s="424"/>
      <c r="C1" s="417" t="s">
        <v>1</v>
      </c>
      <c r="D1" s="144" t="s">
        <v>2</v>
      </c>
    </row>
    <row r="2" spans="1:13" x14ac:dyDescent="0.25">
      <c r="A2" s="276" t="str">
        <f>'VFA (10F) (6 ARS)'!A1</f>
        <v>Readiness Standards VFA F-18(F) 10 Plane 6 ARS</v>
      </c>
      <c r="B2" s="276" t="s">
        <v>3</v>
      </c>
      <c r="C2" s="326">
        <f>'VFA (10F) (6 ARS)'!AD1</f>
        <v>10.01</v>
      </c>
      <c r="D2" s="241">
        <f>'VFA (10F) (6 ARS)'!M1</f>
        <v>44835</v>
      </c>
      <c r="E2" s="142" t="str">
        <f t="shared" ref="E2:E17" ca="1" si="0">IF(D2&gt;NOW()-90," ! NEW","")</f>
        <v/>
      </c>
      <c r="H2" s="321"/>
      <c r="I2" s="321"/>
      <c r="J2" s="321"/>
      <c r="K2" s="321"/>
      <c r="L2" s="321"/>
      <c r="M2" s="321"/>
    </row>
    <row r="3" spans="1:13" x14ac:dyDescent="0.25">
      <c r="A3" s="293" t="str">
        <f>'VFA (10F) (4 ARS)'!A1</f>
        <v>Readiness Standards VFA F-18(F) 10 Plane 4 ARS</v>
      </c>
      <c r="B3" s="276" t="s">
        <v>3</v>
      </c>
      <c r="C3" s="326">
        <f>'VFA (10F) (4 ARS)'!AD1</f>
        <v>10.02</v>
      </c>
      <c r="D3" s="241">
        <f>'VFA (10F) (4 ARS)'!M1</f>
        <v>44835</v>
      </c>
      <c r="E3" s="142" t="str">
        <f t="shared" ca="1" si="0"/>
        <v/>
      </c>
    </row>
    <row r="4" spans="1:13" x14ac:dyDescent="0.25">
      <c r="A4" s="276" t="str">
        <f>'VFA (10F) (No ARS)'!A1</f>
        <v>Readiness Standards VFA F-18(F) 10 Plane No ARS</v>
      </c>
      <c r="B4" s="276" t="s">
        <v>3</v>
      </c>
      <c r="C4" s="326">
        <f>'VFA (10F) (No ARS)'!AD1</f>
        <v>10.029999999999999</v>
      </c>
      <c r="D4" s="241">
        <f>'VFA (10F) (No ARS)'!M1</f>
        <v>44835</v>
      </c>
      <c r="E4" s="142" t="str">
        <f t="shared" ca="1" si="0"/>
        <v/>
      </c>
    </row>
    <row r="5" spans="1:13" x14ac:dyDescent="0.25">
      <c r="A5" s="276" t="str">
        <f>'VFA (11F) (6 ARS)'!A1</f>
        <v>Readiness Standards VFA F-18(F) 11 Plane 6 ARS</v>
      </c>
      <c r="B5" s="276" t="s">
        <v>3</v>
      </c>
      <c r="C5" s="326">
        <f>'VFA (11F) (6 ARS)'!AD1</f>
        <v>10.039999999999999</v>
      </c>
      <c r="D5" s="241">
        <f>'VFA (11F) (6 ARS)'!M1</f>
        <v>44835</v>
      </c>
      <c r="E5" s="142" t="str">
        <f t="shared" ca="1" si="0"/>
        <v/>
      </c>
    </row>
    <row r="6" spans="1:13" x14ac:dyDescent="0.25">
      <c r="A6" s="276" t="str">
        <f>'VFA (11F) (5 ARS)'!A1</f>
        <v>Readiness Standards VFA F-18(F) 11 Plane 5 ARS</v>
      </c>
      <c r="B6" s="276" t="s">
        <v>3</v>
      </c>
      <c r="C6" s="326">
        <f>'VFA (11F) (5 ARS)'!AD1</f>
        <v>10.050000000000001</v>
      </c>
      <c r="D6" s="241">
        <f>'VFA (11F) (5 ARS)'!M1</f>
        <v>44835</v>
      </c>
      <c r="E6" s="142" t="str">
        <f t="shared" ca="1" si="0"/>
        <v/>
      </c>
    </row>
    <row r="7" spans="1:13" x14ac:dyDescent="0.25">
      <c r="A7" s="276" t="str">
        <f>'VFA (11F) (4 ARS)'!A1</f>
        <v>Readiness Standards VFA F-18(F) 11 Plane 4 ARS</v>
      </c>
      <c r="B7" s="276" t="s">
        <v>3</v>
      </c>
      <c r="C7" s="326">
        <f>'VFA (11F) (4 ARS)'!AD1</f>
        <v>10.06</v>
      </c>
      <c r="D7" s="241">
        <f>'VFA (11F) (4 ARS)'!M1</f>
        <v>44835</v>
      </c>
      <c r="E7" s="142" t="str">
        <f t="shared" ca="1" si="0"/>
        <v/>
      </c>
    </row>
    <row r="8" spans="1:13" x14ac:dyDescent="0.25">
      <c r="A8" s="276" t="str">
        <f>'VFA (12F) (6 ARS)'!A1</f>
        <v>Readiness Standards VFA F-18(F) 12 Plane 6 ARS</v>
      </c>
      <c r="B8" s="276" t="s">
        <v>3</v>
      </c>
      <c r="C8" s="326">
        <f>'VFA (12F) (6 ARS)'!AD1</f>
        <v>10.07</v>
      </c>
      <c r="D8" s="241">
        <f>'VFA (12F) (6 ARS)'!M1</f>
        <v>44835</v>
      </c>
      <c r="E8" s="142" t="str">
        <f t="shared" ca="1" si="0"/>
        <v/>
      </c>
    </row>
    <row r="9" spans="1:13" x14ac:dyDescent="0.25">
      <c r="A9" s="276" t="str">
        <f>'VFA (12F) (No ARS) FDNF'!A1:G1</f>
        <v>Readiness Standards VFA F-18(F) 12 Plane FDNF No ARS</v>
      </c>
      <c r="B9" s="276" t="s">
        <v>3</v>
      </c>
      <c r="C9" s="326">
        <f>'VFA (12F) (No ARS) FDNF'!AD1</f>
        <v>10.08</v>
      </c>
      <c r="D9" s="241">
        <f>'VFA (12F) (No ARS) FDNF'!M1</f>
        <v>44835</v>
      </c>
      <c r="E9" s="142" t="str">
        <f t="shared" ca="1" si="0"/>
        <v/>
      </c>
    </row>
    <row r="10" spans="1:13" x14ac:dyDescent="0.25">
      <c r="A10" s="276" t="str">
        <f>'VFA (12F) (4 ARS) FDNF'!A1:G1</f>
        <v>Readiness Standards VFA F-18(F) 12 Plane FDNF 4 ARS</v>
      </c>
      <c r="B10" s="276" t="s">
        <v>3</v>
      </c>
      <c r="C10" s="326">
        <f>'VFA (12F) (4 ARS) FDNF'!AD1</f>
        <v>10.09</v>
      </c>
      <c r="D10" s="241">
        <f>'VFA (12F) (4 ARS) FDNF'!M1</f>
        <v>44835</v>
      </c>
      <c r="E10" s="142" t="str">
        <f t="shared" ca="1" si="0"/>
        <v/>
      </c>
    </row>
    <row r="11" spans="1:13" x14ac:dyDescent="0.25">
      <c r="A11" s="276" t="str">
        <f>'VFA (12F) (6 ARS) FDNF'!A1</f>
        <v>Readiness Standards VFA F-18(F) 12 Plane FDNF 6 ARS</v>
      </c>
      <c r="B11" s="276" t="s">
        <v>3</v>
      </c>
      <c r="C11" s="326">
        <f>'VFA (12F) (6 ARS) FDNF'!AD1</f>
        <v>10.1</v>
      </c>
      <c r="D11" s="241">
        <f>'VFA (12F) (6 ARS) FDNF'!K1</f>
        <v>44805</v>
      </c>
      <c r="E11" s="142" t="str">
        <f t="shared" ca="1" si="0"/>
        <v/>
      </c>
    </row>
    <row r="12" spans="1:13" x14ac:dyDescent="0.25">
      <c r="A12" s="276" t="str">
        <f>'VFA (FA-18E-F VFA-106 FRS)'!A1:F1</f>
        <v>Readiness Standards VFA FA-18 E-F VFA-106 FRS</v>
      </c>
      <c r="B12" s="276"/>
      <c r="C12" s="326">
        <f>'VFA (FA-18E-F VFA-106 FRS)'!AD1</f>
        <v>10.11</v>
      </c>
      <c r="D12" s="241">
        <f>'VFA (FA-18E-F VFA-106 FRS)'!M1</f>
        <v>44835</v>
      </c>
      <c r="E12" s="142" t="str">
        <f t="shared" ca="1" si="0"/>
        <v/>
      </c>
    </row>
    <row r="13" spans="1:13" x14ac:dyDescent="0.25">
      <c r="A13" s="276" t="str">
        <f>'VFA (FA-18E-F VFA-122 FRS)'!A1:F1</f>
        <v>Readiness Standards VFA FA-18 E-F VFA-122 FRS</v>
      </c>
      <c r="B13" s="276"/>
      <c r="C13" s="326">
        <f>'VFA (FA-18E-F VFA-122 FRS)'!AD1</f>
        <v>10.119999999999999</v>
      </c>
      <c r="D13" s="241">
        <f>'VFA (FA-18E-F VFA-122 FRS)'!M1</f>
        <v>44835</v>
      </c>
      <c r="E13" s="142" t="str">
        <f t="shared" ca="1" si="0"/>
        <v/>
      </c>
    </row>
    <row r="14" spans="1:13" x14ac:dyDescent="0.25">
      <c r="A14" s="276" t="str">
        <f>'VFA FA-18EF PDAA_POAA'!A1</f>
        <v>Readiness Standards VFA FA-18 Test and Other</v>
      </c>
      <c r="B14" s="276"/>
      <c r="C14" s="326">
        <f>'VFA FA-18EF PDAA_POAA'!AD1</f>
        <v>10.130000000000001</v>
      </c>
      <c r="D14" s="241">
        <f>'VFA FA-18EF PDAA_POAA'!M1</f>
        <v>44835</v>
      </c>
      <c r="E14" s="142" t="str">
        <f t="shared" ca="1" si="0"/>
        <v/>
      </c>
    </row>
    <row r="15" spans="1:13" x14ac:dyDescent="0.25">
      <c r="A15" s="276" t="str">
        <f>'VFA FA-18F Reduced Matrix'!C2</f>
        <v>F/A-18F VFA TMS Reduced MET to Mission System Map</v>
      </c>
      <c r="B15" s="276"/>
      <c r="C15" s="327"/>
      <c r="D15" s="241">
        <f>'VFA FA-18F Reduced Matrix'!B1</f>
        <v>43983</v>
      </c>
      <c r="E15" s="142" t="str">
        <f t="shared" ca="1" si="0"/>
        <v/>
      </c>
    </row>
    <row r="16" spans="1:13" x14ac:dyDescent="0.25">
      <c r="A16" s="276" t="str">
        <f>'FA-18EF Mission System Summary'!A1</f>
        <v>FA-18E-F Mission System Utilization per Flight Task</v>
      </c>
      <c r="B16" s="276"/>
      <c r="C16" s="327"/>
      <c r="D16" s="241">
        <f>'FA-18EF Mission System Summary'!J1</f>
        <v>44825</v>
      </c>
      <c r="E16" s="142" t="str">
        <f t="shared" ca="1" si="0"/>
        <v/>
      </c>
    </row>
    <row r="17" spans="1:5" x14ac:dyDescent="0.25">
      <c r="A17" s="276"/>
      <c r="B17" s="276"/>
      <c r="C17" s="327"/>
      <c r="D17" s="241"/>
      <c r="E17" s="142" t="str">
        <f t="shared" ca="1" si="0"/>
        <v/>
      </c>
    </row>
    <row r="18" spans="1:5" x14ac:dyDescent="0.25">
      <c r="A18" s="242"/>
      <c r="B18" s="242"/>
      <c r="C18" s="242"/>
      <c r="D18" s="243"/>
    </row>
    <row r="19" spans="1:5" x14ac:dyDescent="0.25">
      <c r="A19" s="425" t="s">
        <v>4</v>
      </c>
      <c r="B19" s="425"/>
      <c r="C19" s="418"/>
      <c r="D19" s="418" t="s">
        <v>2</v>
      </c>
    </row>
    <row r="20" spans="1:5" x14ac:dyDescent="0.25">
      <c r="A20" s="244" t="s">
        <v>5</v>
      </c>
      <c r="B20" s="206"/>
      <c r="C20" s="206"/>
      <c r="D20" s="241">
        <v>41821</v>
      </c>
    </row>
    <row r="21" spans="1:5" x14ac:dyDescent="0.25">
      <c r="A21" s="244" t="s">
        <v>6</v>
      </c>
      <c r="B21" s="244"/>
      <c r="C21" s="244"/>
      <c r="D21" s="241">
        <v>41821</v>
      </c>
    </row>
    <row r="22" spans="1:5" x14ac:dyDescent="0.25">
      <c r="A22" s="244" t="s">
        <v>7</v>
      </c>
      <c r="B22" s="244"/>
      <c r="C22" s="244"/>
      <c r="D22" s="241">
        <v>41821</v>
      </c>
    </row>
    <row r="23" spans="1:5" x14ac:dyDescent="0.25">
      <c r="B23" s="143"/>
      <c r="C23" s="143"/>
    </row>
    <row r="27" spans="1:5" x14ac:dyDescent="0.25">
      <c r="A27" s="143" t="s">
        <v>8</v>
      </c>
    </row>
  </sheetData>
  <mergeCells count="2">
    <mergeCell ref="A1:B1"/>
    <mergeCell ref="A19:B19"/>
  </mergeCells>
  <phoneticPr fontId="6" type="noConversion"/>
  <hyperlinks>
    <hyperlink ref="A11" location="'VFA (12F) (6 ARS) FDNF'!A1" display="'VFA (12F) (6 ARS) FDNF'!A1" xr:uid="{00000000-0004-0000-0000-000000000000}"/>
    <hyperlink ref="A8" location="'VFA (12F) (6 ARS)'!A1" display="'VFA (12F) (6 ARS)'!A1" xr:uid="{00000000-0004-0000-0000-000001000000}"/>
    <hyperlink ref="A7" location="'VFA (11F) (4 ARS)'!A1" display="'VFA (11F) (4 ARS)'!A1" xr:uid="{00000000-0004-0000-0000-000002000000}"/>
    <hyperlink ref="A6" location="'VFA (11F) (5 ARS)'!A1" display="'VFA (11F) (5 ARS)'!A1" xr:uid="{00000000-0004-0000-0000-000003000000}"/>
    <hyperlink ref="A5" location="'VFA (11F) (6 ARS)'!A1" display="'VFA (11F) (6 ARS)'!A1" xr:uid="{00000000-0004-0000-0000-000004000000}"/>
    <hyperlink ref="A4" location="'VFA (10F) (No ARS)'!A1" display="'VFA (10F) (No ARS)'!A1" xr:uid="{00000000-0004-0000-0000-000005000000}"/>
    <hyperlink ref="A3" location="'VFA (10F) (4 ARS)'!A1" display="'VFA (10F) (4 ARS)'!A1" xr:uid="{00000000-0004-0000-0000-000006000000}"/>
    <hyperlink ref="A2" location="'VFA (10F) (6 ARS)'!A1" display="'VFA (10F) (6 ARS)'!A1" xr:uid="{00000000-0004-0000-0000-000007000000}"/>
    <hyperlink ref="A9" location="'VFA (12F) (No ARS) FDNF'!A1" display="'VFA (12F) (No ARS) FDNF'!A1" xr:uid="{00000000-0004-0000-0000-000008000000}"/>
    <hyperlink ref="A10" location="'VFA (12F) (4 ARS) FDNF'!A1" display="'VFA (12F) (4 ARS) FDNF'!A1" xr:uid="{00000000-0004-0000-0000-000009000000}"/>
    <hyperlink ref="B2" location="'VFA (10F) (6 ARS)'!A140" display="AMFOM" xr:uid="{00000000-0004-0000-0000-00000A000000}"/>
    <hyperlink ref="B3" location="'VFA (10F) (4 ARS)'!A140" display="AMFOM" xr:uid="{00000000-0004-0000-0000-00000B000000}"/>
    <hyperlink ref="B4" location="'VFA (10F) (No ARS)'!A140" display="AMFOM" xr:uid="{00000000-0004-0000-0000-00000C000000}"/>
    <hyperlink ref="B5" location="'VFA (11F) (6 ARS)'!A140" display="AMFOM" xr:uid="{00000000-0004-0000-0000-00000D000000}"/>
    <hyperlink ref="B6" location="'VFA (11F) (5 ARS)'!A140" display="AMFOM" xr:uid="{00000000-0004-0000-0000-00000E000000}"/>
    <hyperlink ref="B7" location="'VFA (11F) (4 ARS)'!A140" display="AMFOM" xr:uid="{00000000-0004-0000-0000-00000F000000}"/>
    <hyperlink ref="B8" location="'VFA (12F) (6 ARS)'!A140" display="AMFOM" xr:uid="{00000000-0004-0000-0000-000010000000}"/>
    <hyperlink ref="B9" location="'VFA (12F) (No ARS) FDNF'!A140" display="AMFOM" xr:uid="{00000000-0004-0000-0000-000011000000}"/>
    <hyperlink ref="B10" location="'VFA (12F) (4 ARS) FDNF'!A140" display="AMFOM" xr:uid="{00000000-0004-0000-0000-000012000000}"/>
    <hyperlink ref="B11" location="'VFA (12F) (6 ARS) FDNF'!A140" display="AMFOM" xr:uid="{00000000-0004-0000-0000-000013000000}"/>
    <hyperlink ref="A15" location="'VFA FA-18F Reduced Matrix'!A1" display="'VFA FA-18F Reduced Matrix'!A1" xr:uid="{00000000-0004-0000-0000-000014000000}"/>
    <hyperlink ref="A12" location="'VFA (FA-18E-F VFA-106 FRS)'!A1" display="'VFA (FA-18E-F VFA-106 FRS)'!A1" xr:uid="{00000000-0004-0000-0000-000015000000}"/>
    <hyperlink ref="A13" location="'VFA (FA-18E-F VFA-122 FRS)'!A1" display="'VFA (FA-18E-F VFA-122 FRS)'!A1" xr:uid="{00000000-0004-0000-0000-000016000000}"/>
    <hyperlink ref="A16" location="'FA-18EF Mission System Summary'!A1" display="'FA-18EF Mission System Summary'!A1" xr:uid="{00000000-0004-0000-0000-000017000000}"/>
    <hyperlink ref="A14" location="'VFA FA-18EF PDAA_POAA'!A1" display="'VFA FA-18EF PDAA_POAA'!A1" xr:uid="{00000000-0004-0000-0000-000018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6"/>
  <sheetViews>
    <sheetView showGridLines="0" workbookViewId="0">
      <selection activeCell="B25" sqref="B25"/>
    </sheetView>
  </sheetViews>
  <sheetFormatPr defaultColWidth="97.5703125" defaultRowHeight="15" x14ac:dyDescent="0.25"/>
  <cols>
    <col min="1" max="1" width="9.42578125" style="199" bestFit="1" customWidth="1"/>
    <col min="2" max="2" width="43.140625" style="135" bestFit="1" customWidth="1"/>
    <col min="3" max="3" width="107" style="135" bestFit="1" customWidth="1"/>
    <col min="4" max="16384" width="97.5703125" style="135"/>
  </cols>
  <sheetData>
    <row r="1" spans="1:3" x14ac:dyDescent="0.25">
      <c r="A1" s="147" t="s">
        <v>9</v>
      </c>
      <c r="B1" s="147" t="s">
        <v>10</v>
      </c>
      <c r="C1" s="148" t="s">
        <v>11</v>
      </c>
    </row>
    <row r="2" spans="1:3" x14ac:dyDescent="0.25">
      <c r="A2" s="195">
        <v>41091</v>
      </c>
      <c r="B2" s="286" t="s">
        <v>12</v>
      </c>
      <c r="C2" s="150" t="s">
        <v>13</v>
      </c>
    </row>
    <row r="3" spans="1:3" s="151" customFormat="1" x14ac:dyDescent="0.25">
      <c r="A3" s="198">
        <v>41306</v>
      </c>
      <c r="B3" s="287" t="s">
        <v>14</v>
      </c>
      <c r="C3" s="150" t="s">
        <v>15</v>
      </c>
    </row>
    <row r="4" spans="1:3" x14ac:dyDescent="0.25">
      <c r="A4" s="195">
        <v>41426</v>
      </c>
      <c r="B4" s="288" t="s">
        <v>12</v>
      </c>
      <c r="C4" s="196" t="s">
        <v>16</v>
      </c>
    </row>
    <row r="5" spans="1:3" x14ac:dyDescent="0.25">
      <c r="A5" s="195">
        <v>41426</v>
      </c>
      <c r="B5" s="286" t="s">
        <v>12</v>
      </c>
      <c r="C5" s="136" t="s">
        <v>17</v>
      </c>
    </row>
    <row r="6" spans="1:3" x14ac:dyDescent="0.25">
      <c r="A6" s="195">
        <v>41821</v>
      </c>
      <c r="B6" s="286" t="s">
        <v>12</v>
      </c>
      <c r="C6" s="136" t="s">
        <v>18</v>
      </c>
    </row>
    <row r="7" spans="1:3" x14ac:dyDescent="0.25">
      <c r="A7" s="205">
        <v>42948</v>
      </c>
      <c r="B7" s="286" t="s">
        <v>12</v>
      </c>
      <c r="C7" s="150" t="s">
        <v>19</v>
      </c>
    </row>
    <row r="8" spans="1:3" x14ac:dyDescent="0.25">
      <c r="A8" s="195">
        <v>42948</v>
      </c>
      <c r="B8" s="286" t="s">
        <v>12</v>
      </c>
      <c r="C8" s="136" t="s">
        <v>20</v>
      </c>
    </row>
    <row r="9" spans="1:3" x14ac:dyDescent="0.25">
      <c r="A9" s="195">
        <v>43009</v>
      </c>
      <c r="B9" s="286" t="s">
        <v>21</v>
      </c>
      <c r="C9" s="136" t="s">
        <v>22</v>
      </c>
    </row>
    <row r="10" spans="1:3" x14ac:dyDescent="0.25">
      <c r="A10" s="195">
        <v>43374</v>
      </c>
      <c r="B10" s="286" t="s">
        <v>21</v>
      </c>
      <c r="C10" s="136" t="s">
        <v>22</v>
      </c>
    </row>
    <row r="11" spans="1:3" x14ac:dyDescent="0.25">
      <c r="A11" s="195">
        <v>43435</v>
      </c>
      <c r="B11" s="286" t="s">
        <v>12</v>
      </c>
      <c r="C11" s="136" t="s">
        <v>23</v>
      </c>
    </row>
    <row r="12" spans="1:3" x14ac:dyDescent="0.25">
      <c r="A12" s="195">
        <v>43435</v>
      </c>
      <c r="B12" s="286" t="s">
        <v>12</v>
      </c>
      <c r="C12" s="136" t="s">
        <v>24</v>
      </c>
    </row>
    <row r="13" spans="1:3" x14ac:dyDescent="0.25">
      <c r="A13" s="205">
        <v>43435</v>
      </c>
      <c r="B13" s="277" t="s">
        <v>25</v>
      </c>
      <c r="C13" s="150" t="s">
        <v>26</v>
      </c>
    </row>
    <row r="14" spans="1:3" s="151" customFormat="1" x14ac:dyDescent="0.25">
      <c r="A14" s="195">
        <v>43435</v>
      </c>
      <c r="B14" s="277" t="s">
        <v>12</v>
      </c>
      <c r="C14" s="150" t="s">
        <v>27</v>
      </c>
    </row>
    <row r="15" spans="1:3" s="151" customFormat="1" x14ac:dyDescent="0.25">
      <c r="A15" s="195">
        <v>43435</v>
      </c>
      <c r="B15" s="277" t="s">
        <v>28</v>
      </c>
      <c r="C15" s="150" t="s">
        <v>29</v>
      </c>
    </row>
    <row r="16" spans="1:3" x14ac:dyDescent="0.25">
      <c r="A16" s="195">
        <v>43983</v>
      </c>
      <c r="B16" s="136" t="s">
        <v>12</v>
      </c>
      <c r="C16" s="150" t="s">
        <v>30</v>
      </c>
    </row>
    <row r="17" spans="1:3" x14ac:dyDescent="0.25">
      <c r="A17" s="195">
        <v>43862</v>
      </c>
      <c r="B17" s="136" t="s">
        <v>31</v>
      </c>
      <c r="C17" s="150" t="s">
        <v>32</v>
      </c>
    </row>
    <row r="18" spans="1:3" x14ac:dyDescent="0.25">
      <c r="A18" s="328">
        <v>44805</v>
      </c>
      <c r="B18" s="149" t="s">
        <v>33</v>
      </c>
      <c r="C18" s="329" t="s">
        <v>34</v>
      </c>
    </row>
    <row r="19" spans="1:3" x14ac:dyDescent="0.25">
      <c r="A19" s="195">
        <v>44835</v>
      </c>
      <c r="B19" s="136" t="s">
        <v>12</v>
      </c>
      <c r="C19" s="329" t="s">
        <v>35</v>
      </c>
    </row>
    <row r="20" spans="1:3" x14ac:dyDescent="0.25">
      <c r="A20" s="365">
        <v>44835</v>
      </c>
      <c r="B20" s="366" t="s">
        <v>12</v>
      </c>
      <c r="C20" s="329" t="s">
        <v>36</v>
      </c>
    </row>
    <row r="21" spans="1:3" x14ac:dyDescent="0.25">
      <c r="A21" s="195">
        <v>44835</v>
      </c>
      <c r="B21" s="136" t="s">
        <v>37</v>
      </c>
      <c r="C21" s="136" t="s">
        <v>38</v>
      </c>
    </row>
    <row r="22" spans="1:3" x14ac:dyDescent="0.25">
      <c r="A22" s="149"/>
      <c r="B22" s="136"/>
      <c r="C22" s="136"/>
    </row>
    <row r="23" spans="1:3" x14ac:dyDescent="0.25">
      <c r="A23" s="149"/>
      <c r="B23" s="136"/>
      <c r="C23" s="136"/>
    </row>
    <row r="24" spans="1:3" x14ac:dyDescent="0.25">
      <c r="A24" s="149"/>
      <c r="B24" s="136"/>
      <c r="C24" s="136"/>
    </row>
    <row r="25" spans="1:3" x14ac:dyDescent="0.25">
      <c r="A25" s="149"/>
      <c r="B25" s="136"/>
      <c r="C25" s="136"/>
    </row>
    <row r="26" spans="1:3" x14ac:dyDescent="0.25">
      <c r="A26" s="149"/>
      <c r="B26" s="136"/>
      <c r="C26" s="136"/>
    </row>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153"/>
  <sheetViews>
    <sheetView showGridLines="0" topLeftCell="A137" zoomScaleNormal="100" zoomScaleSheetLayoutView="100" workbookViewId="0">
      <selection sqref="A1:G1"/>
    </sheetView>
  </sheetViews>
  <sheetFormatPr defaultRowHeight="12" x14ac:dyDescent="0.2"/>
  <cols>
    <col min="1" max="1" width="41.140625" style="15" customWidth="1"/>
    <col min="2" max="29" width="5.7109375" style="15" customWidth="1"/>
    <col min="30" max="30" width="8" style="15" customWidth="1"/>
    <col min="31" max="35" width="5.7109375" style="15" customWidth="1"/>
    <col min="36" max="16384" width="9.140625" style="15"/>
  </cols>
  <sheetData>
    <row r="1" spans="1:32" s="1" customFormat="1" ht="18.75" x14ac:dyDescent="0.3">
      <c r="A1" s="430" t="s">
        <v>39</v>
      </c>
      <c r="B1" s="430"/>
      <c r="C1" s="430"/>
      <c r="D1" s="430"/>
      <c r="E1" s="430"/>
      <c r="F1" s="430"/>
      <c r="G1" s="430"/>
      <c r="H1" s="145" t="s">
        <v>40</v>
      </c>
      <c r="K1" s="95"/>
      <c r="L1" s="146" t="s">
        <v>41</v>
      </c>
      <c r="M1" s="441">
        <v>44835</v>
      </c>
      <c r="N1" s="442"/>
      <c r="O1" s="443"/>
      <c r="P1" s="443"/>
      <c r="AC1" s="324" t="s">
        <v>42</v>
      </c>
      <c r="AD1" s="325">
        <v>10.01</v>
      </c>
    </row>
    <row r="2" spans="1:32" s="4" customFormat="1" ht="12.75" x14ac:dyDescent="0.2">
      <c r="A2" s="2" t="s">
        <v>43</v>
      </c>
      <c r="B2" s="70">
        <v>10</v>
      </c>
      <c r="C2" s="59"/>
      <c r="D2" s="3"/>
      <c r="E2" s="3"/>
      <c r="F2" s="3"/>
      <c r="H2" s="294" t="s">
        <v>3</v>
      </c>
      <c r="N2" s="5"/>
      <c r="O2" s="5"/>
      <c r="P2" s="5"/>
      <c r="Q2" s="5"/>
      <c r="R2" s="3"/>
      <c r="S2" s="3"/>
      <c r="T2" s="3"/>
      <c r="U2" s="3"/>
      <c r="V2" s="3"/>
      <c r="W2" s="3"/>
      <c r="X2" s="3"/>
      <c r="Y2" s="3"/>
      <c r="Z2" s="3"/>
      <c r="AA2" s="3"/>
      <c r="AB2" s="3"/>
      <c r="AC2" s="100"/>
    </row>
    <row r="3" spans="1:32" s="4" customFormat="1" ht="11.25" x14ac:dyDescent="0.2">
      <c r="A3" s="2" t="s">
        <v>44</v>
      </c>
      <c r="B3" s="71">
        <f>B4/B2</f>
        <v>1.5</v>
      </c>
      <c r="C3" s="59"/>
      <c r="D3" s="3"/>
      <c r="I3" s="3"/>
      <c r="J3" s="3"/>
      <c r="K3" s="3"/>
      <c r="N3" s="5"/>
      <c r="O3" s="5"/>
      <c r="P3" s="5"/>
      <c r="Q3" s="5"/>
      <c r="R3" s="3"/>
      <c r="S3" s="3"/>
      <c r="T3" s="3"/>
      <c r="U3" s="3"/>
      <c r="V3" s="3"/>
      <c r="W3" s="3"/>
      <c r="X3" s="3"/>
      <c r="Y3" s="3"/>
      <c r="Z3" s="3"/>
      <c r="AA3" s="3"/>
      <c r="AB3" s="3"/>
      <c r="AC3" s="100"/>
    </row>
    <row r="4" spans="1:32" s="4" customFormat="1" ht="11.25" x14ac:dyDescent="0.2">
      <c r="A4" s="2" t="s">
        <v>45</v>
      </c>
      <c r="B4" s="70">
        <v>15</v>
      </c>
      <c r="C4" s="59"/>
      <c r="D4" s="3"/>
      <c r="E4" s="3"/>
      <c r="F4" s="3"/>
      <c r="G4" s="3"/>
      <c r="H4" s="3"/>
      <c r="I4" s="3"/>
      <c r="J4" s="3"/>
      <c r="K4" s="3"/>
      <c r="N4" s="5"/>
      <c r="O4" s="5"/>
      <c r="P4" s="5"/>
      <c r="Q4" s="5"/>
      <c r="R4" s="3"/>
      <c r="S4" s="3"/>
      <c r="T4" s="3"/>
      <c r="U4" s="3"/>
      <c r="V4" s="3"/>
      <c r="W4" s="3"/>
      <c r="X4" s="3"/>
      <c r="Y4" s="3"/>
      <c r="Z4" s="3"/>
      <c r="AA4" s="3"/>
      <c r="AB4" s="3"/>
      <c r="AC4" s="100"/>
    </row>
    <row r="5" spans="1:32" s="4" customFormat="1" ht="11.25" x14ac:dyDescent="0.2">
      <c r="A5" s="2" t="s">
        <v>46</v>
      </c>
      <c r="B5" s="72">
        <v>1.5</v>
      </c>
      <c r="C5" s="61"/>
      <c r="D5" s="3"/>
      <c r="E5" s="3"/>
      <c r="F5" s="3"/>
      <c r="G5" s="3"/>
      <c r="H5" s="3"/>
      <c r="I5" s="3"/>
      <c r="J5" s="3"/>
      <c r="K5" s="3"/>
      <c r="N5" s="5"/>
      <c r="O5" s="5"/>
      <c r="P5" s="5"/>
      <c r="Q5" s="5"/>
      <c r="R5" s="3"/>
      <c r="S5" s="3"/>
      <c r="T5" s="3"/>
      <c r="U5" s="3"/>
      <c r="V5" s="3"/>
      <c r="W5" s="3"/>
      <c r="X5" s="3"/>
      <c r="Y5" s="3"/>
      <c r="Z5" s="3"/>
      <c r="AA5" s="3"/>
      <c r="AB5" s="3"/>
      <c r="AC5" s="100"/>
    </row>
    <row r="6" spans="1:32" s="4" customFormat="1" ht="11.25" x14ac:dyDescent="0.2">
      <c r="A6" s="6" t="s">
        <v>47</v>
      </c>
      <c r="B6" s="72">
        <v>27.5</v>
      </c>
      <c r="C6" s="61"/>
      <c r="D6" s="3"/>
      <c r="E6" s="3"/>
      <c r="F6" s="3"/>
      <c r="G6" s="3"/>
      <c r="H6" s="3"/>
      <c r="I6" s="3"/>
      <c r="J6" s="3"/>
      <c r="K6" s="3"/>
      <c r="L6" s="5"/>
      <c r="M6" s="5"/>
      <c r="N6" s="5"/>
      <c r="O6" s="5"/>
      <c r="P6" s="5"/>
      <c r="Q6" s="5"/>
      <c r="R6" s="3"/>
      <c r="S6" s="3"/>
      <c r="T6" s="3"/>
      <c r="U6" s="3"/>
      <c r="V6" s="3"/>
      <c r="W6" s="3"/>
      <c r="X6" s="3"/>
      <c r="Y6" s="3"/>
      <c r="Z6" s="3"/>
      <c r="AA6" s="3"/>
      <c r="AB6" s="3"/>
      <c r="AC6" s="100"/>
    </row>
    <row r="7" spans="1:32" s="4" customFormat="1" ht="11.25" x14ac:dyDescent="0.2">
      <c r="A7" s="2" t="s">
        <v>48</v>
      </c>
      <c r="B7" s="72">
        <f>B6*B4</f>
        <v>412.5</v>
      </c>
      <c r="C7" s="60"/>
      <c r="E7" s="3"/>
      <c r="F7" s="3"/>
      <c r="G7" s="3"/>
      <c r="H7" s="3"/>
      <c r="I7" s="3"/>
      <c r="J7" s="3"/>
      <c r="K7" s="3"/>
      <c r="L7" s="3"/>
      <c r="M7" s="3"/>
      <c r="N7" s="3"/>
      <c r="O7" s="3"/>
      <c r="P7" s="3"/>
      <c r="Q7" s="3"/>
      <c r="R7" s="3"/>
      <c r="S7" s="3"/>
      <c r="T7" s="3"/>
      <c r="U7" s="3"/>
      <c r="V7" s="3"/>
      <c r="W7" s="3"/>
      <c r="X7" s="3"/>
      <c r="Y7" s="3"/>
      <c r="Z7" s="3"/>
      <c r="AA7" s="3"/>
      <c r="AB7" s="3"/>
      <c r="AC7" s="100"/>
    </row>
    <row r="8" spans="1:32" s="4" customFormat="1" ht="11.25" x14ac:dyDescent="0.2">
      <c r="A8" s="2" t="s">
        <v>49</v>
      </c>
      <c r="B8" s="70">
        <f>B7/B5</f>
        <v>275</v>
      </c>
      <c r="C8" s="59"/>
      <c r="E8" s="3"/>
      <c r="F8" s="3"/>
      <c r="G8" s="3"/>
      <c r="H8" s="3"/>
      <c r="I8" s="3"/>
      <c r="J8" s="3"/>
      <c r="K8" s="3"/>
      <c r="L8" s="3"/>
      <c r="M8" s="3"/>
      <c r="N8" s="3"/>
      <c r="O8" s="3"/>
      <c r="P8" s="3"/>
      <c r="Q8" s="3"/>
      <c r="R8" s="3"/>
      <c r="S8" s="3"/>
      <c r="T8" s="3"/>
      <c r="U8" s="3"/>
      <c r="V8" s="3"/>
      <c r="W8" s="3"/>
      <c r="X8" s="3"/>
      <c r="Y8" s="3"/>
      <c r="Z8" s="3"/>
      <c r="AA8" s="3"/>
      <c r="AB8" s="3"/>
      <c r="AC8" s="100"/>
    </row>
    <row r="9" spans="1:32" s="4" customFormat="1" ht="11.25" x14ac:dyDescent="0.2">
      <c r="A9" s="2" t="s">
        <v>50</v>
      </c>
      <c r="B9" s="72">
        <f>B4*C9</f>
        <v>15</v>
      </c>
      <c r="C9" s="59">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2" s="4" customFormat="1" ht="11.25" x14ac:dyDescent="0.2">
      <c r="A10" s="2" t="s">
        <v>53</v>
      </c>
      <c r="B10" s="72">
        <f>B4*C10</f>
        <v>93</v>
      </c>
      <c r="C10" s="59">
        <v>6.2</v>
      </c>
      <c r="D10" s="4" t="s">
        <v>51</v>
      </c>
      <c r="E10" s="3"/>
      <c r="F10" s="3"/>
      <c r="G10" s="94" t="s">
        <v>54</v>
      </c>
      <c r="H10" s="93">
        <v>0.26500000000000001</v>
      </c>
      <c r="I10" s="3"/>
      <c r="J10" s="3"/>
      <c r="K10" s="3"/>
      <c r="L10" s="3"/>
      <c r="M10" s="3"/>
      <c r="N10" s="3"/>
      <c r="O10" s="3"/>
      <c r="P10" s="3"/>
      <c r="Q10" s="3"/>
      <c r="R10" s="3"/>
      <c r="S10" s="3"/>
      <c r="T10" s="3"/>
      <c r="U10" s="3"/>
      <c r="V10" s="3"/>
      <c r="W10" s="3"/>
      <c r="X10" s="3"/>
      <c r="Y10" s="3"/>
      <c r="Z10" s="3"/>
      <c r="AA10" s="3"/>
      <c r="AB10" s="3"/>
    </row>
    <row r="11" spans="1:32" s="4" customFormat="1" ht="11.25" x14ac:dyDescent="0.2">
      <c r="A11" s="2" t="s">
        <v>55</v>
      </c>
      <c r="B11" s="4">
        <f>C11*B4</f>
        <v>30</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2"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2"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row>
    <row r="14" spans="1:32" s="13" customFormat="1" x14ac:dyDescent="0.2">
      <c r="A14" s="8" t="s">
        <v>64</v>
      </c>
      <c r="B14" s="201" t="s">
        <v>65</v>
      </c>
      <c r="C14" s="201" t="s">
        <v>66</v>
      </c>
      <c r="D14" s="201" t="s">
        <v>67</v>
      </c>
      <c r="E14" s="201" t="s">
        <v>68</v>
      </c>
      <c r="F14" s="201" t="s">
        <v>69</v>
      </c>
      <c r="G14" s="201" t="s">
        <v>70</v>
      </c>
      <c r="H14" s="201" t="s">
        <v>71</v>
      </c>
      <c r="I14" s="201" t="s">
        <v>72</v>
      </c>
      <c r="J14" s="201" t="s">
        <v>73</v>
      </c>
      <c r="K14" s="201" t="s">
        <v>74</v>
      </c>
      <c r="L14" s="201" t="s">
        <v>75</v>
      </c>
      <c r="M14" s="201" t="s">
        <v>76</v>
      </c>
      <c r="N14" s="201" t="s">
        <v>77</v>
      </c>
      <c r="O14" s="201" t="s">
        <v>78</v>
      </c>
      <c r="P14" s="201" t="s">
        <v>79</v>
      </c>
      <c r="Q14" s="201" t="s">
        <v>80</v>
      </c>
      <c r="R14" s="201" t="s">
        <v>81</v>
      </c>
      <c r="S14" s="201" t="s">
        <v>82</v>
      </c>
      <c r="T14" s="201" t="s">
        <v>83</v>
      </c>
      <c r="U14" s="201" t="s">
        <v>84</v>
      </c>
      <c r="V14" s="201" t="s">
        <v>85</v>
      </c>
      <c r="W14" s="201" t="s">
        <v>86</v>
      </c>
      <c r="X14" s="201" t="s">
        <v>87</v>
      </c>
      <c r="Y14" s="201" t="s">
        <v>88</v>
      </c>
      <c r="Z14" s="201" t="s">
        <v>89</v>
      </c>
      <c r="AA14" s="201" t="s">
        <v>90</v>
      </c>
      <c r="AB14" s="343" t="s">
        <v>91</v>
      </c>
      <c r="AC14" s="11" t="s">
        <v>92</v>
      </c>
      <c r="AD14" s="12"/>
      <c r="AE14" s="12"/>
      <c r="AF14" s="12"/>
    </row>
    <row r="15" spans="1:32" s="13" customFormat="1" x14ac:dyDescent="0.2">
      <c r="A15" s="8" t="s">
        <v>93</v>
      </c>
      <c r="B15" s="201">
        <v>1</v>
      </c>
      <c r="C15" s="201">
        <v>2</v>
      </c>
      <c r="D15" s="201">
        <v>3</v>
      </c>
      <c r="E15" s="201">
        <v>4</v>
      </c>
      <c r="F15" s="201">
        <v>5</v>
      </c>
      <c r="G15" s="201">
        <v>6</v>
      </c>
      <c r="H15" s="201">
        <v>7</v>
      </c>
      <c r="I15" s="201">
        <v>8</v>
      </c>
      <c r="J15" s="201">
        <v>9</v>
      </c>
      <c r="K15" s="201">
        <v>10</v>
      </c>
      <c r="L15" s="201">
        <v>11</v>
      </c>
      <c r="M15" s="201">
        <v>12</v>
      </c>
      <c r="N15" s="201">
        <v>13</v>
      </c>
      <c r="O15" s="201">
        <v>14</v>
      </c>
      <c r="P15" s="201">
        <v>15</v>
      </c>
      <c r="Q15" s="201">
        <v>16</v>
      </c>
      <c r="R15" s="201">
        <v>17</v>
      </c>
      <c r="S15" s="201">
        <v>18</v>
      </c>
      <c r="T15" s="201">
        <v>19</v>
      </c>
      <c r="U15" s="201">
        <v>20</v>
      </c>
      <c r="V15" s="201">
        <v>21</v>
      </c>
      <c r="W15" s="201">
        <v>22</v>
      </c>
      <c r="X15" s="201">
        <v>23</v>
      </c>
      <c r="Y15" s="201">
        <v>24</v>
      </c>
      <c r="Z15" s="201">
        <v>25</v>
      </c>
      <c r="AA15" s="201">
        <v>26</v>
      </c>
      <c r="AB15" s="343">
        <v>27</v>
      </c>
      <c r="AC15" s="11">
        <v>28</v>
      </c>
      <c r="AD15" s="12"/>
      <c r="AE15" s="12"/>
      <c r="AF15" s="12"/>
    </row>
    <row r="16" spans="1:32" x14ac:dyDescent="0.2">
      <c r="A16" s="8" t="s">
        <v>94</v>
      </c>
      <c r="B16" s="436" t="s">
        <v>95</v>
      </c>
      <c r="C16" s="437"/>
      <c r="D16" s="437"/>
      <c r="E16" s="438"/>
      <c r="F16" s="436" t="s">
        <v>96</v>
      </c>
      <c r="G16" s="437"/>
      <c r="H16" s="437"/>
      <c r="I16" s="437"/>
      <c r="J16" s="438"/>
      <c r="K16" s="436" t="s">
        <v>97</v>
      </c>
      <c r="L16" s="437"/>
      <c r="M16" s="438"/>
      <c r="N16" s="436" t="s">
        <v>61</v>
      </c>
      <c r="O16" s="437"/>
      <c r="P16" s="437"/>
      <c r="Q16" s="438"/>
      <c r="R16" s="436" t="s">
        <v>98</v>
      </c>
      <c r="S16" s="437"/>
      <c r="T16" s="437"/>
      <c r="U16" s="437"/>
      <c r="V16" s="437"/>
      <c r="W16" s="438"/>
      <c r="X16" s="436" t="s">
        <v>99</v>
      </c>
      <c r="Y16" s="437"/>
      <c r="Z16" s="437"/>
      <c r="AA16" s="437"/>
      <c r="AB16" s="437"/>
      <c r="AC16" s="11" t="s">
        <v>100</v>
      </c>
      <c r="AD16" s="14"/>
      <c r="AE16" s="14"/>
      <c r="AF16" s="14"/>
    </row>
    <row r="17" spans="1:34" ht="12.75" x14ac:dyDescent="0.2">
      <c r="A17" s="96" t="s">
        <v>101</v>
      </c>
      <c r="B17" s="202"/>
      <c r="C17" s="203"/>
      <c r="D17" s="203"/>
      <c r="E17" s="203"/>
      <c r="F17" s="203"/>
      <c r="G17" s="203"/>
      <c r="H17" s="203"/>
      <c r="I17" s="203"/>
      <c r="J17" s="203"/>
      <c r="K17" s="203"/>
      <c r="L17" s="203"/>
      <c r="M17" s="203"/>
      <c r="N17" s="203"/>
      <c r="O17" s="203"/>
      <c r="P17" s="203"/>
      <c r="Q17" s="203"/>
      <c r="R17" s="203"/>
      <c r="S17" s="203"/>
      <c r="T17" s="204"/>
      <c r="U17" s="203"/>
      <c r="V17" s="203"/>
      <c r="W17" s="203"/>
      <c r="X17" s="203"/>
      <c r="Y17" s="203"/>
      <c r="Z17" s="203"/>
      <c r="AA17" s="203"/>
      <c r="AB17" s="203"/>
      <c r="AC17" s="19"/>
      <c r="AD17" s="14"/>
      <c r="AE17" s="14"/>
      <c r="AF17" s="14"/>
    </row>
    <row r="18" spans="1:34" s="97" customFormat="1" x14ac:dyDescent="0.2">
      <c r="A18" s="37"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98"/>
      <c r="AE18" s="99"/>
      <c r="AF18" s="100"/>
    </row>
    <row r="19" spans="1:34" x14ac:dyDescent="0.2">
      <c r="A19" s="24"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2"/>
      <c r="AE19" s="12"/>
      <c r="AF19" s="23"/>
    </row>
    <row r="20" spans="1:34" x14ac:dyDescent="0.2">
      <c r="A20" s="177" t="s">
        <v>104</v>
      </c>
      <c r="B20" s="182"/>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20"/>
      <c r="AD20" s="22"/>
      <c r="AE20" s="12"/>
      <c r="AF20" s="23"/>
    </row>
    <row r="21" spans="1:34" s="27" customFormat="1" x14ac:dyDescent="0.2">
      <c r="A21" s="24" t="s">
        <v>105</v>
      </c>
      <c r="B21" s="179">
        <f>B19*$B$8</f>
        <v>137.5</v>
      </c>
      <c r="C21" s="179">
        <f t="shared" ref="C21:AC21" si="1">C19*$B$8</f>
        <v>137.5</v>
      </c>
      <c r="D21" s="179">
        <f t="shared" si="1"/>
        <v>137.5</v>
      </c>
      <c r="E21" s="179">
        <f t="shared" si="1"/>
        <v>137.5</v>
      </c>
      <c r="F21" s="179">
        <f t="shared" si="1"/>
        <v>137.5</v>
      </c>
      <c r="G21" s="179">
        <f t="shared" si="1"/>
        <v>137.5</v>
      </c>
      <c r="H21" s="179">
        <f t="shared" si="1"/>
        <v>151.25</v>
      </c>
      <c r="I21" s="179">
        <f t="shared" si="1"/>
        <v>165</v>
      </c>
      <c r="J21" s="179">
        <f t="shared" si="1"/>
        <v>178.75</v>
      </c>
      <c r="K21" s="179">
        <f t="shared" si="1"/>
        <v>192.5</v>
      </c>
      <c r="L21" s="179">
        <f t="shared" si="1"/>
        <v>192.5</v>
      </c>
      <c r="M21" s="179">
        <f t="shared" si="1"/>
        <v>192.5</v>
      </c>
      <c r="N21" s="179">
        <f t="shared" si="1"/>
        <v>192.5</v>
      </c>
      <c r="O21" s="179">
        <f t="shared" si="1"/>
        <v>192.5</v>
      </c>
      <c r="P21" s="179">
        <f t="shared" si="1"/>
        <v>192.5</v>
      </c>
      <c r="Q21" s="179">
        <f t="shared" si="1"/>
        <v>110</v>
      </c>
      <c r="R21" s="179">
        <f t="shared" si="1"/>
        <v>220</v>
      </c>
      <c r="S21" s="179">
        <f t="shared" si="1"/>
        <v>220</v>
      </c>
      <c r="T21" s="179">
        <f t="shared" si="1"/>
        <v>220</v>
      </c>
      <c r="U21" s="179">
        <f t="shared" si="1"/>
        <v>220</v>
      </c>
      <c r="V21" s="179">
        <f t="shared" si="1"/>
        <v>220</v>
      </c>
      <c r="W21" s="179">
        <f t="shared" si="1"/>
        <v>192.5</v>
      </c>
      <c r="X21" s="179">
        <f t="shared" si="1"/>
        <v>110</v>
      </c>
      <c r="Y21" s="179">
        <f t="shared" si="1"/>
        <v>165</v>
      </c>
      <c r="Z21" s="179">
        <f t="shared" si="1"/>
        <v>165</v>
      </c>
      <c r="AA21" s="179">
        <f t="shared" si="1"/>
        <v>165</v>
      </c>
      <c r="AB21" s="188">
        <f t="shared" si="1"/>
        <v>165</v>
      </c>
      <c r="AC21" s="25">
        <f t="shared" si="1"/>
        <v>110</v>
      </c>
      <c r="AD21" s="26"/>
      <c r="AE21" s="26"/>
      <c r="AF21" s="26"/>
    </row>
    <row r="22" spans="1:34" s="30" customFormat="1" x14ac:dyDescent="0.2">
      <c r="A22" s="24" t="s">
        <v>106</v>
      </c>
      <c r="B22" s="28">
        <f>B21*$B$5</f>
        <v>206.25</v>
      </c>
      <c r="C22" s="28">
        <f t="shared" ref="C22:AC22" si="2">C21*$B$5</f>
        <v>206.25</v>
      </c>
      <c r="D22" s="28">
        <f t="shared" si="2"/>
        <v>206.25</v>
      </c>
      <c r="E22" s="28">
        <f t="shared" si="2"/>
        <v>206.25</v>
      </c>
      <c r="F22" s="28">
        <f t="shared" si="2"/>
        <v>206.25</v>
      </c>
      <c r="G22" s="28">
        <f t="shared" si="2"/>
        <v>206.25</v>
      </c>
      <c r="H22" s="28">
        <f t="shared" si="2"/>
        <v>226.875</v>
      </c>
      <c r="I22" s="28">
        <f t="shared" si="2"/>
        <v>247.5</v>
      </c>
      <c r="J22" s="28">
        <f t="shared" si="2"/>
        <v>268.125</v>
      </c>
      <c r="K22" s="28">
        <f t="shared" si="2"/>
        <v>288.75</v>
      </c>
      <c r="L22" s="28">
        <f t="shared" si="2"/>
        <v>288.75</v>
      </c>
      <c r="M22" s="28">
        <f t="shared" si="2"/>
        <v>288.75</v>
      </c>
      <c r="N22" s="28">
        <f t="shared" si="2"/>
        <v>288.75</v>
      </c>
      <c r="O22" s="28">
        <f t="shared" si="2"/>
        <v>288.75</v>
      </c>
      <c r="P22" s="28">
        <f t="shared" si="2"/>
        <v>288.75</v>
      </c>
      <c r="Q22" s="28">
        <f t="shared" si="2"/>
        <v>165</v>
      </c>
      <c r="R22" s="28">
        <f t="shared" si="2"/>
        <v>330</v>
      </c>
      <c r="S22" s="28">
        <f t="shared" si="2"/>
        <v>330</v>
      </c>
      <c r="T22" s="28">
        <f t="shared" si="2"/>
        <v>330</v>
      </c>
      <c r="U22" s="28">
        <f t="shared" si="2"/>
        <v>330</v>
      </c>
      <c r="V22" s="28">
        <f t="shared" si="2"/>
        <v>330</v>
      </c>
      <c r="W22" s="28">
        <f t="shared" si="2"/>
        <v>288.75</v>
      </c>
      <c r="X22" s="28">
        <f t="shared" si="2"/>
        <v>165</v>
      </c>
      <c r="Y22" s="28">
        <f t="shared" si="2"/>
        <v>247.5</v>
      </c>
      <c r="Z22" s="28">
        <f t="shared" si="2"/>
        <v>247.5</v>
      </c>
      <c r="AA22" s="28">
        <f t="shared" si="2"/>
        <v>247.5</v>
      </c>
      <c r="AB22" s="175">
        <f t="shared" si="2"/>
        <v>247.5</v>
      </c>
      <c r="AC22" s="28">
        <f t="shared" si="2"/>
        <v>165</v>
      </c>
      <c r="AD22" s="29"/>
      <c r="AE22" s="29"/>
      <c r="AF22" s="29"/>
    </row>
    <row r="23" spans="1:34" s="30" customFormat="1" x14ac:dyDescent="0.2">
      <c r="A23" s="24" t="s">
        <v>107</v>
      </c>
      <c r="B23" s="101">
        <f>$B$9</f>
        <v>15</v>
      </c>
      <c r="C23" s="101">
        <f t="shared" ref="C23:AC23" si="3">$B$9</f>
        <v>15</v>
      </c>
      <c r="D23" s="101">
        <f t="shared" si="3"/>
        <v>15</v>
      </c>
      <c r="E23" s="101">
        <f t="shared" si="3"/>
        <v>15</v>
      </c>
      <c r="F23" s="101">
        <f t="shared" si="3"/>
        <v>15</v>
      </c>
      <c r="G23" s="101">
        <f t="shared" si="3"/>
        <v>15</v>
      </c>
      <c r="H23" s="101">
        <f t="shared" si="3"/>
        <v>15</v>
      </c>
      <c r="I23" s="101">
        <f t="shared" si="3"/>
        <v>15</v>
      </c>
      <c r="J23" s="101">
        <f t="shared" si="3"/>
        <v>15</v>
      </c>
      <c r="K23" s="101">
        <f t="shared" si="3"/>
        <v>15</v>
      </c>
      <c r="L23" s="101">
        <f t="shared" si="3"/>
        <v>15</v>
      </c>
      <c r="M23" s="101">
        <f t="shared" si="3"/>
        <v>15</v>
      </c>
      <c r="N23" s="101">
        <f t="shared" si="3"/>
        <v>15</v>
      </c>
      <c r="O23" s="101">
        <f t="shared" si="3"/>
        <v>15</v>
      </c>
      <c r="P23" s="101">
        <f t="shared" si="3"/>
        <v>15</v>
      </c>
      <c r="Q23" s="101">
        <f t="shared" si="3"/>
        <v>15</v>
      </c>
      <c r="R23" s="101">
        <f t="shared" si="3"/>
        <v>15</v>
      </c>
      <c r="S23" s="101">
        <f t="shared" si="3"/>
        <v>15</v>
      </c>
      <c r="T23" s="101">
        <f t="shared" si="3"/>
        <v>15</v>
      </c>
      <c r="U23" s="101">
        <f t="shared" si="3"/>
        <v>15</v>
      </c>
      <c r="V23" s="101">
        <f t="shared" si="3"/>
        <v>15</v>
      </c>
      <c r="W23" s="101">
        <f t="shared" si="3"/>
        <v>15</v>
      </c>
      <c r="X23" s="101">
        <f t="shared" si="3"/>
        <v>15</v>
      </c>
      <c r="Y23" s="101">
        <f t="shared" si="3"/>
        <v>15</v>
      </c>
      <c r="Z23" s="101">
        <f t="shared" si="3"/>
        <v>15</v>
      </c>
      <c r="AA23" s="101">
        <f t="shared" si="3"/>
        <v>15</v>
      </c>
      <c r="AB23" s="189">
        <f t="shared" si="3"/>
        <v>15</v>
      </c>
      <c r="AC23" s="101">
        <f t="shared" si="3"/>
        <v>15</v>
      </c>
      <c r="AD23" s="29"/>
      <c r="AE23" s="29"/>
      <c r="AF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93</v>
      </c>
      <c r="K24" s="101">
        <f t="shared" si="4"/>
        <v>0</v>
      </c>
      <c r="L24" s="101">
        <f t="shared" si="4"/>
        <v>93</v>
      </c>
      <c r="M24" s="101">
        <f t="shared" si="4"/>
        <v>93</v>
      </c>
      <c r="N24" s="101">
        <f t="shared" si="4"/>
        <v>0</v>
      </c>
      <c r="O24" s="101">
        <f t="shared" si="4"/>
        <v>0</v>
      </c>
      <c r="P24" s="101">
        <f t="shared" si="4"/>
        <v>93</v>
      </c>
      <c r="Q24" s="101">
        <f t="shared" si="4"/>
        <v>0</v>
      </c>
      <c r="R24" s="101">
        <f t="shared" si="4"/>
        <v>93</v>
      </c>
      <c r="S24" s="101">
        <f t="shared" si="4"/>
        <v>93</v>
      </c>
      <c r="T24" s="101">
        <f t="shared" si="4"/>
        <v>93</v>
      </c>
      <c r="U24" s="101">
        <f t="shared" si="4"/>
        <v>93</v>
      </c>
      <c r="V24" s="101">
        <f t="shared" si="4"/>
        <v>93</v>
      </c>
      <c r="W24" s="101">
        <f t="shared" si="4"/>
        <v>93</v>
      </c>
      <c r="X24" s="101">
        <f t="shared" si="4"/>
        <v>0</v>
      </c>
      <c r="Y24" s="101">
        <f t="shared" si="4"/>
        <v>0</v>
      </c>
      <c r="Z24" s="101">
        <f t="shared" si="4"/>
        <v>0</v>
      </c>
      <c r="AA24" s="101">
        <f t="shared" si="4"/>
        <v>0</v>
      </c>
      <c r="AB24" s="189">
        <f t="shared" si="4"/>
        <v>0</v>
      </c>
      <c r="AC24" s="101">
        <f>IF(ISBLANK(AC106),0,$B$10)</f>
        <v>0</v>
      </c>
      <c r="AD24" s="29"/>
      <c r="AE24" s="29"/>
      <c r="AF24" s="29"/>
    </row>
    <row r="25" spans="1:34" s="30" customFormat="1" x14ac:dyDescent="0.2">
      <c r="A25" s="24" t="s">
        <v>109</v>
      </c>
      <c r="B25" s="28">
        <f>B21*$B$5+SUM(B23:B24)</f>
        <v>221.25</v>
      </c>
      <c r="C25" s="28">
        <f t="shared" ref="C25:AB25" si="5">C21*$B$5+SUM(C23:C24)</f>
        <v>221.25</v>
      </c>
      <c r="D25" s="28">
        <f t="shared" si="5"/>
        <v>221.25</v>
      </c>
      <c r="E25" s="28">
        <f t="shared" si="5"/>
        <v>221.25</v>
      </c>
      <c r="F25" s="28">
        <f t="shared" si="5"/>
        <v>221.25</v>
      </c>
      <c r="G25" s="28">
        <f t="shared" si="5"/>
        <v>221.25</v>
      </c>
      <c r="H25" s="28">
        <f t="shared" si="5"/>
        <v>241.875</v>
      </c>
      <c r="I25" s="28">
        <f t="shared" si="5"/>
        <v>262.5</v>
      </c>
      <c r="J25" s="28">
        <f t="shared" si="5"/>
        <v>376.125</v>
      </c>
      <c r="K25" s="28">
        <f t="shared" si="5"/>
        <v>303.75</v>
      </c>
      <c r="L25" s="28">
        <f t="shared" si="5"/>
        <v>396.75</v>
      </c>
      <c r="M25" s="28">
        <f t="shared" si="5"/>
        <v>396.75</v>
      </c>
      <c r="N25" s="28">
        <f t="shared" si="5"/>
        <v>303.75</v>
      </c>
      <c r="O25" s="28">
        <f t="shared" si="5"/>
        <v>303.75</v>
      </c>
      <c r="P25" s="28">
        <f t="shared" si="5"/>
        <v>396.75</v>
      </c>
      <c r="Q25" s="28">
        <f t="shared" si="5"/>
        <v>180</v>
      </c>
      <c r="R25" s="28">
        <f t="shared" si="5"/>
        <v>438</v>
      </c>
      <c r="S25" s="28">
        <f t="shared" si="5"/>
        <v>438</v>
      </c>
      <c r="T25" s="28">
        <f t="shared" si="5"/>
        <v>438</v>
      </c>
      <c r="U25" s="28">
        <f t="shared" si="5"/>
        <v>438</v>
      </c>
      <c r="V25" s="28">
        <f t="shared" si="5"/>
        <v>438</v>
      </c>
      <c r="W25" s="28">
        <f t="shared" si="5"/>
        <v>396.75</v>
      </c>
      <c r="X25" s="28">
        <f t="shared" si="5"/>
        <v>180</v>
      </c>
      <c r="Y25" s="28">
        <f t="shared" si="5"/>
        <v>262.5</v>
      </c>
      <c r="Z25" s="28">
        <f t="shared" si="5"/>
        <v>262.5</v>
      </c>
      <c r="AA25" s="28">
        <f t="shared" si="5"/>
        <v>262.5</v>
      </c>
      <c r="AB25" s="175">
        <f t="shared" si="5"/>
        <v>262.5</v>
      </c>
      <c r="AC25" s="28">
        <f>AC21*$B$5+SUM(AC23:AC24)</f>
        <v>180</v>
      </c>
      <c r="AD25" s="29"/>
      <c r="AE25" s="29"/>
      <c r="AF25" s="29"/>
    </row>
    <row r="26" spans="1:34" s="30" customFormat="1" x14ac:dyDescent="0.2">
      <c r="A26" s="31" t="s">
        <v>110</v>
      </c>
      <c r="B26" s="32">
        <f t="shared" ref="B26:AB26" si="6">-IF(ISBLANK(B117),0,MIN(B$22*$H$10,B$22-$B$7*$H$9))</f>
        <v>-41.25</v>
      </c>
      <c r="C26" s="32">
        <f t="shared" si="6"/>
        <v>-41.25</v>
      </c>
      <c r="D26" s="32">
        <f t="shared" si="6"/>
        <v>-41.25</v>
      </c>
      <c r="E26" s="32">
        <f t="shared" si="6"/>
        <v>0</v>
      </c>
      <c r="F26" s="32">
        <f t="shared" si="6"/>
        <v>-41.25</v>
      </c>
      <c r="G26" s="32">
        <f t="shared" si="6"/>
        <v>-41.25</v>
      </c>
      <c r="H26" s="32">
        <f t="shared" si="6"/>
        <v>-60.121875000000003</v>
      </c>
      <c r="I26" s="32">
        <f t="shared" si="6"/>
        <v>-65.587500000000006</v>
      </c>
      <c r="J26" s="32">
        <f t="shared" si="6"/>
        <v>0</v>
      </c>
      <c r="K26" s="32">
        <f t="shared" si="6"/>
        <v>0</v>
      </c>
      <c r="L26" s="32">
        <f t="shared" si="6"/>
        <v>0</v>
      </c>
      <c r="M26" s="32">
        <f t="shared" si="6"/>
        <v>0</v>
      </c>
      <c r="N26" s="32">
        <f t="shared" si="6"/>
        <v>-76.518749999999997</v>
      </c>
      <c r="O26" s="32">
        <f t="shared" si="6"/>
        <v>-76.518749999999997</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-65.587500000000006</v>
      </c>
      <c r="Z26" s="32">
        <f t="shared" si="6"/>
        <v>-65.587500000000006</v>
      </c>
      <c r="AA26" s="32">
        <f t="shared" si="6"/>
        <v>-65.587500000000006</v>
      </c>
      <c r="AB26" s="172">
        <f t="shared" si="6"/>
        <v>-65.587500000000006</v>
      </c>
      <c r="AC26" s="28">
        <f>-IF(ISBLANK(AC105),0,MIN(AC$22*$H$10,AC$22-$B$7*$H$9))</f>
        <v>0</v>
      </c>
      <c r="AD26" s="29"/>
      <c r="AE26" s="29"/>
      <c r="AF26" s="29"/>
    </row>
    <row r="27" spans="1:34" s="30" customFormat="1" x14ac:dyDescent="0.2">
      <c r="A27" s="24" t="s">
        <v>111</v>
      </c>
      <c r="B27" s="32">
        <f t="shared" ref="B27:AB27" si="7">SUM(B25:B26)</f>
        <v>180</v>
      </c>
      <c r="C27" s="32">
        <f t="shared" si="7"/>
        <v>180</v>
      </c>
      <c r="D27" s="32">
        <f t="shared" si="7"/>
        <v>180</v>
      </c>
      <c r="E27" s="32">
        <f t="shared" si="7"/>
        <v>221.25</v>
      </c>
      <c r="F27" s="32">
        <f t="shared" si="7"/>
        <v>180</v>
      </c>
      <c r="G27" s="32">
        <f t="shared" si="7"/>
        <v>180</v>
      </c>
      <c r="H27" s="32">
        <f t="shared" si="7"/>
        <v>181.75312500000001</v>
      </c>
      <c r="I27" s="32">
        <f t="shared" si="7"/>
        <v>196.91249999999999</v>
      </c>
      <c r="J27" s="32">
        <f t="shared" si="7"/>
        <v>376.125</v>
      </c>
      <c r="K27" s="32">
        <f t="shared" si="7"/>
        <v>303.75</v>
      </c>
      <c r="L27" s="32">
        <f t="shared" si="7"/>
        <v>396.75</v>
      </c>
      <c r="M27" s="32">
        <f t="shared" si="7"/>
        <v>396.75</v>
      </c>
      <c r="N27" s="32">
        <f t="shared" si="7"/>
        <v>227.23124999999999</v>
      </c>
      <c r="O27" s="32">
        <f t="shared" si="7"/>
        <v>227.23124999999999</v>
      </c>
      <c r="P27" s="32">
        <f t="shared" si="7"/>
        <v>396.75</v>
      </c>
      <c r="Q27" s="32">
        <f t="shared" si="7"/>
        <v>180</v>
      </c>
      <c r="R27" s="32">
        <f t="shared" si="7"/>
        <v>438</v>
      </c>
      <c r="S27" s="32">
        <f t="shared" si="7"/>
        <v>438</v>
      </c>
      <c r="T27" s="32">
        <f t="shared" si="7"/>
        <v>438</v>
      </c>
      <c r="U27" s="32">
        <f t="shared" si="7"/>
        <v>438</v>
      </c>
      <c r="V27" s="32">
        <f t="shared" si="7"/>
        <v>438</v>
      </c>
      <c r="W27" s="32">
        <f t="shared" si="7"/>
        <v>396.75</v>
      </c>
      <c r="X27" s="32">
        <f t="shared" si="7"/>
        <v>180</v>
      </c>
      <c r="Y27" s="32">
        <f t="shared" si="7"/>
        <v>196.91249999999999</v>
      </c>
      <c r="Z27" s="32">
        <f t="shared" si="7"/>
        <v>196.91249999999999</v>
      </c>
      <c r="AA27" s="32">
        <f t="shared" si="7"/>
        <v>196.91249999999999</v>
      </c>
      <c r="AB27" s="172">
        <f t="shared" si="7"/>
        <v>196.91249999999999</v>
      </c>
      <c r="AC27" s="28">
        <f>SUM(AC25:AC26)</f>
        <v>180</v>
      </c>
      <c r="AD27" s="29"/>
      <c r="AE27" s="29"/>
      <c r="AF27" s="29"/>
    </row>
    <row r="28" spans="1:34" s="30" customFormat="1" x14ac:dyDescent="0.2">
      <c r="A28" s="31" t="s">
        <v>112</v>
      </c>
      <c r="B28" s="32">
        <f>AVERAGE(AA22:AB22,B22)</f>
        <v>233.75</v>
      </c>
      <c r="C28" s="32">
        <f>AVERAGE(AB22,B22:C22)</f>
        <v>220</v>
      </c>
      <c r="D28" s="32">
        <f t="shared" ref="D28:AB28" si="8">AVERAGE(B22:D22)</f>
        <v>206.25</v>
      </c>
      <c r="E28" s="32">
        <f t="shared" si="8"/>
        <v>206.25</v>
      </c>
      <c r="F28" s="32">
        <f t="shared" si="8"/>
        <v>206.25</v>
      </c>
      <c r="G28" s="32">
        <f t="shared" si="8"/>
        <v>206.25</v>
      </c>
      <c r="H28" s="32">
        <f t="shared" si="8"/>
        <v>213.125</v>
      </c>
      <c r="I28" s="32">
        <f t="shared" si="8"/>
        <v>226.875</v>
      </c>
      <c r="J28" s="32">
        <f t="shared" si="8"/>
        <v>247.5</v>
      </c>
      <c r="K28" s="32">
        <f t="shared" si="8"/>
        <v>268.125</v>
      </c>
      <c r="L28" s="32">
        <f t="shared" si="8"/>
        <v>281.875</v>
      </c>
      <c r="M28" s="32">
        <f t="shared" si="8"/>
        <v>288.75</v>
      </c>
      <c r="N28" s="32">
        <f t="shared" si="8"/>
        <v>288.75</v>
      </c>
      <c r="O28" s="32">
        <f t="shared" si="8"/>
        <v>288.75</v>
      </c>
      <c r="P28" s="32">
        <f t="shared" si="8"/>
        <v>288.75</v>
      </c>
      <c r="Q28" s="32">
        <f t="shared" si="8"/>
        <v>247.5</v>
      </c>
      <c r="R28" s="32">
        <f t="shared" si="8"/>
        <v>261.25</v>
      </c>
      <c r="S28" s="32">
        <f t="shared" si="8"/>
        <v>275</v>
      </c>
      <c r="T28" s="32">
        <f t="shared" si="8"/>
        <v>330</v>
      </c>
      <c r="U28" s="32">
        <f t="shared" si="8"/>
        <v>330</v>
      </c>
      <c r="V28" s="32">
        <f t="shared" si="8"/>
        <v>330</v>
      </c>
      <c r="W28" s="32">
        <f t="shared" si="8"/>
        <v>316.25</v>
      </c>
      <c r="X28" s="32">
        <f t="shared" si="8"/>
        <v>261.25</v>
      </c>
      <c r="Y28" s="32">
        <f t="shared" si="8"/>
        <v>233.75</v>
      </c>
      <c r="Z28" s="32">
        <f t="shared" si="8"/>
        <v>220</v>
      </c>
      <c r="AA28" s="32">
        <f t="shared" si="8"/>
        <v>247.5</v>
      </c>
      <c r="AB28" s="172">
        <f t="shared" si="8"/>
        <v>247.5</v>
      </c>
      <c r="AC28" s="28">
        <f>SUM(AC25:AC26)</f>
        <v>180</v>
      </c>
      <c r="AD28" s="14"/>
      <c r="AE28" s="14"/>
      <c r="AF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row>
    <row r="30" spans="1:34" s="30" customFormat="1" x14ac:dyDescent="0.2">
      <c r="A30" s="31" t="s">
        <v>114</v>
      </c>
      <c r="B30" s="32">
        <f t="shared" ref="B30:AC30" si="9">IF(ISBLANK(B117),0,$B$11)</f>
        <v>30</v>
      </c>
      <c r="C30" s="32">
        <f t="shared" si="9"/>
        <v>30</v>
      </c>
      <c r="D30" s="32">
        <f t="shared" si="9"/>
        <v>30</v>
      </c>
      <c r="E30" s="32">
        <f t="shared" si="9"/>
        <v>0</v>
      </c>
      <c r="F30" s="32">
        <f t="shared" si="9"/>
        <v>30</v>
      </c>
      <c r="G30" s="32">
        <f t="shared" si="9"/>
        <v>30</v>
      </c>
      <c r="H30" s="32">
        <f t="shared" si="9"/>
        <v>30</v>
      </c>
      <c r="I30" s="32">
        <f t="shared" si="9"/>
        <v>30</v>
      </c>
      <c r="J30" s="32">
        <f t="shared" si="9"/>
        <v>0</v>
      </c>
      <c r="K30" s="32">
        <f t="shared" si="9"/>
        <v>0</v>
      </c>
      <c r="L30" s="32">
        <f t="shared" si="9"/>
        <v>0</v>
      </c>
      <c r="M30" s="32">
        <f t="shared" si="9"/>
        <v>0</v>
      </c>
      <c r="N30" s="32">
        <f t="shared" si="9"/>
        <v>30</v>
      </c>
      <c r="O30" s="32">
        <f t="shared" si="9"/>
        <v>30</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30</v>
      </c>
      <c r="Z30" s="32">
        <f t="shared" si="9"/>
        <v>30</v>
      </c>
      <c r="AA30" s="32">
        <f t="shared" si="9"/>
        <v>30</v>
      </c>
      <c r="AB30" s="172">
        <f t="shared" si="9"/>
        <v>30</v>
      </c>
      <c r="AC30" s="28">
        <f t="shared" si="9"/>
        <v>30</v>
      </c>
      <c r="AD30" s="14"/>
      <c r="AE30" s="14"/>
      <c r="AF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v>
      </c>
      <c r="C34" s="36">
        <f t="shared" ref="C34:AC34" si="11">((C36*$B$143)/$B$2)</f>
        <v>0.455829162495829</v>
      </c>
      <c r="D34" s="36">
        <f t="shared" si="11"/>
        <v>0.455829162495829</v>
      </c>
      <c r="E34" s="36">
        <f t="shared" si="11"/>
        <v>0.455829162495829</v>
      </c>
      <c r="F34" s="36">
        <f t="shared" si="11"/>
        <v>0.455829162495829</v>
      </c>
      <c r="G34" s="36">
        <f t="shared" si="11"/>
        <v>0.455829162495829</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v>
      </c>
      <c r="AD34" s="26"/>
      <c r="AE34" s="26"/>
      <c r="AF34" s="26"/>
      <c r="AG34" s="26"/>
      <c r="AH34" s="26"/>
    </row>
    <row r="35" spans="1:34" s="30" customFormat="1" x14ac:dyDescent="0.2">
      <c r="A35" s="24" t="s">
        <v>119</v>
      </c>
      <c r="B35" s="132">
        <f t="shared" ref="B35:AC35" si="12">ROUND($B$2*B$32,2)</f>
        <v>7</v>
      </c>
      <c r="C35" s="132">
        <f t="shared" si="12"/>
        <v>7</v>
      </c>
      <c r="D35" s="132">
        <f t="shared" si="12"/>
        <v>7</v>
      </c>
      <c r="E35" s="132">
        <f t="shared" si="12"/>
        <v>7</v>
      </c>
      <c r="F35" s="132">
        <f t="shared" si="12"/>
        <v>7</v>
      </c>
      <c r="G35" s="132">
        <f t="shared" si="12"/>
        <v>7</v>
      </c>
      <c r="H35" s="132">
        <f t="shared" si="12"/>
        <v>8</v>
      </c>
      <c r="I35" s="132">
        <f t="shared" si="12"/>
        <v>8</v>
      </c>
      <c r="J35" s="132">
        <f t="shared" si="12"/>
        <v>8</v>
      </c>
      <c r="K35" s="132">
        <f t="shared" si="12"/>
        <v>9</v>
      </c>
      <c r="L35" s="132">
        <f t="shared" si="12"/>
        <v>9</v>
      </c>
      <c r="M35" s="132">
        <f t="shared" si="12"/>
        <v>9</v>
      </c>
      <c r="N35" s="132">
        <f t="shared" si="12"/>
        <v>10</v>
      </c>
      <c r="O35" s="132">
        <f t="shared" si="12"/>
        <v>10</v>
      </c>
      <c r="P35" s="132">
        <f t="shared" si="12"/>
        <v>10</v>
      </c>
      <c r="Q35" s="132">
        <f t="shared" si="12"/>
        <v>10</v>
      </c>
      <c r="R35" s="132">
        <f t="shared" si="12"/>
        <v>10</v>
      </c>
      <c r="S35" s="132">
        <f t="shared" si="12"/>
        <v>10</v>
      </c>
      <c r="T35" s="132">
        <f t="shared" si="12"/>
        <v>10</v>
      </c>
      <c r="U35" s="132">
        <f t="shared" si="12"/>
        <v>10</v>
      </c>
      <c r="V35" s="132">
        <f t="shared" si="12"/>
        <v>10</v>
      </c>
      <c r="W35" s="132">
        <f t="shared" si="12"/>
        <v>10</v>
      </c>
      <c r="X35" s="132">
        <f t="shared" si="12"/>
        <v>10</v>
      </c>
      <c r="Y35" s="132">
        <f t="shared" si="12"/>
        <v>10</v>
      </c>
      <c r="Z35" s="132">
        <f t="shared" si="12"/>
        <v>10</v>
      </c>
      <c r="AA35" s="132">
        <f t="shared" si="12"/>
        <v>10</v>
      </c>
      <c r="AB35" s="192">
        <f t="shared" si="12"/>
        <v>10</v>
      </c>
      <c r="AC35" s="132">
        <f t="shared" si="12"/>
        <v>7</v>
      </c>
      <c r="AD35" s="26"/>
      <c r="AE35" s="26"/>
      <c r="AF35" s="26"/>
    </row>
    <row r="36" spans="1:34" x14ac:dyDescent="0.2">
      <c r="A36" s="24" t="s">
        <v>120</v>
      </c>
      <c r="B36" s="132">
        <f t="shared" ref="B36:AC36" si="13">ROUND($B$2*B$33,2)</f>
        <v>5.6</v>
      </c>
      <c r="C36" s="132">
        <f t="shared" si="13"/>
        <v>5.6</v>
      </c>
      <c r="D36" s="132">
        <f t="shared" si="13"/>
        <v>5.6</v>
      </c>
      <c r="E36" s="132">
        <f t="shared" si="13"/>
        <v>5.6</v>
      </c>
      <c r="F36" s="132">
        <f t="shared" si="13"/>
        <v>5.6</v>
      </c>
      <c r="G36" s="132">
        <f t="shared" si="13"/>
        <v>5.6</v>
      </c>
      <c r="H36" s="132">
        <f t="shared" si="13"/>
        <v>6.4</v>
      </c>
      <c r="I36" s="132">
        <f t="shared" si="13"/>
        <v>6.4</v>
      </c>
      <c r="J36" s="132">
        <f t="shared" si="13"/>
        <v>6.4</v>
      </c>
      <c r="K36" s="132">
        <f t="shared" si="13"/>
        <v>7.2</v>
      </c>
      <c r="L36" s="132">
        <f t="shared" si="13"/>
        <v>7.2</v>
      </c>
      <c r="M36" s="132">
        <f t="shared" si="13"/>
        <v>7.2</v>
      </c>
      <c r="N36" s="132">
        <f t="shared" si="13"/>
        <v>8</v>
      </c>
      <c r="O36" s="132">
        <f t="shared" si="13"/>
        <v>8</v>
      </c>
      <c r="P36" s="132">
        <f t="shared" si="13"/>
        <v>8</v>
      </c>
      <c r="Q36" s="132">
        <f t="shared" si="13"/>
        <v>8</v>
      </c>
      <c r="R36" s="132">
        <f t="shared" si="13"/>
        <v>8</v>
      </c>
      <c r="S36" s="132">
        <f t="shared" si="13"/>
        <v>8</v>
      </c>
      <c r="T36" s="132">
        <f t="shared" si="13"/>
        <v>8</v>
      </c>
      <c r="U36" s="132">
        <f t="shared" si="13"/>
        <v>8</v>
      </c>
      <c r="V36" s="132">
        <f t="shared" si="13"/>
        <v>8</v>
      </c>
      <c r="W36" s="132">
        <f t="shared" si="13"/>
        <v>8</v>
      </c>
      <c r="X36" s="132">
        <f t="shared" si="13"/>
        <v>8</v>
      </c>
      <c r="Y36" s="132">
        <f t="shared" si="13"/>
        <v>8</v>
      </c>
      <c r="Z36" s="132">
        <f t="shared" si="13"/>
        <v>8</v>
      </c>
      <c r="AA36" s="132">
        <f t="shared" si="13"/>
        <v>8</v>
      </c>
      <c r="AB36" s="192">
        <f t="shared" si="13"/>
        <v>8</v>
      </c>
      <c r="AC36" s="132">
        <f t="shared" si="13"/>
        <v>5.6</v>
      </c>
      <c r="AD36" s="14"/>
      <c r="AE36" s="14"/>
      <c r="AF36" s="14"/>
    </row>
    <row r="37" spans="1:34" x14ac:dyDescent="0.2">
      <c r="A37" s="202" t="s">
        <v>121</v>
      </c>
      <c r="B37" s="360">
        <f>B34*$B$2</f>
        <v>4.5582916249582901</v>
      </c>
      <c r="C37" s="360">
        <f t="shared" ref="C37:AC37" si="14">C34*$B$2</f>
        <v>4.5582916249582901</v>
      </c>
      <c r="D37" s="360">
        <f t="shared" si="14"/>
        <v>4.5582916249582901</v>
      </c>
      <c r="E37" s="360">
        <f t="shared" si="14"/>
        <v>4.5582916249582901</v>
      </c>
      <c r="F37" s="360">
        <f t="shared" si="14"/>
        <v>4.5582916249582901</v>
      </c>
      <c r="G37" s="360">
        <f t="shared" si="14"/>
        <v>4.5582916249582901</v>
      </c>
      <c r="H37" s="360">
        <f t="shared" si="14"/>
        <v>5.2094761428094749</v>
      </c>
      <c r="I37" s="360">
        <f t="shared" si="14"/>
        <v>5.2094761428094749</v>
      </c>
      <c r="J37" s="360">
        <f t="shared" si="14"/>
        <v>5.2094761428094749</v>
      </c>
      <c r="K37" s="360">
        <f t="shared" si="14"/>
        <v>5.8606606606606597</v>
      </c>
      <c r="L37" s="360">
        <f t="shared" si="14"/>
        <v>5.8606606606606597</v>
      </c>
      <c r="M37" s="360">
        <f t="shared" si="14"/>
        <v>5.8606606606606597</v>
      </c>
      <c r="N37" s="360">
        <f t="shared" si="14"/>
        <v>6.5118451785118436</v>
      </c>
      <c r="O37" s="360">
        <f t="shared" si="14"/>
        <v>6.5118451785118436</v>
      </c>
      <c r="P37" s="360">
        <f t="shared" si="14"/>
        <v>6.5118451785118436</v>
      </c>
      <c r="Q37" s="360">
        <f t="shared" si="14"/>
        <v>6.5118451785118436</v>
      </c>
      <c r="R37" s="360">
        <f t="shared" si="14"/>
        <v>6.5118451785118436</v>
      </c>
      <c r="S37" s="360">
        <f t="shared" si="14"/>
        <v>6.5118451785118436</v>
      </c>
      <c r="T37" s="360">
        <f t="shared" si="14"/>
        <v>6.5118451785118436</v>
      </c>
      <c r="U37" s="360">
        <f t="shared" si="14"/>
        <v>6.5118451785118436</v>
      </c>
      <c r="V37" s="360">
        <f t="shared" si="14"/>
        <v>6.5118451785118436</v>
      </c>
      <c r="W37" s="360">
        <f t="shared" si="14"/>
        <v>6.5118451785118436</v>
      </c>
      <c r="X37" s="360">
        <f t="shared" si="14"/>
        <v>6.5118451785118436</v>
      </c>
      <c r="Y37" s="360">
        <f t="shared" si="14"/>
        <v>6.5118451785118436</v>
      </c>
      <c r="Z37" s="360">
        <f t="shared" si="14"/>
        <v>6.5118451785118436</v>
      </c>
      <c r="AA37" s="360">
        <f t="shared" si="14"/>
        <v>6.5118451785118436</v>
      </c>
      <c r="AB37" s="360">
        <f t="shared" si="14"/>
        <v>6.5118451785118436</v>
      </c>
      <c r="AC37" s="360">
        <f t="shared" si="14"/>
        <v>4.5582916249582901</v>
      </c>
      <c r="AD37" s="14"/>
      <c r="AE37" s="14"/>
      <c r="AF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row>
    <row r="39" spans="1:34" s="225" customFormat="1" ht="12.75" x14ac:dyDescent="0.2">
      <c r="A39" s="240" t="s">
        <v>123</v>
      </c>
      <c r="B39" s="323">
        <f t="shared" ref="B39:AC39" si="15">IF($B144&gt;=0.9, B$36,B$36*$B144)</f>
        <v>3.9059059059059043</v>
      </c>
      <c r="C39" s="323">
        <f t="shared" si="15"/>
        <v>3.9059059059059043</v>
      </c>
      <c r="D39" s="323">
        <f t="shared" si="15"/>
        <v>3.9059059059059043</v>
      </c>
      <c r="E39" s="323">
        <f t="shared" si="15"/>
        <v>3.9059059059059043</v>
      </c>
      <c r="F39" s="323">
        <f t="shared" si="15"/>
        <v>3.9059059059059043</v>
      </c>
      <c r="G39" s="323">
        <f t="shared" si="15"/>
        <v>3.9059059059059043</v>
      </c>
      <c r="H39" s="323">
        <f t="shared" si="15"/>
        <v>4.4638924638924626</v>
      </c>
      <c r="I39" s="323">
        <f t="shared" si="15"/>
        <v>4.4638924638924626</v>
      </c>
      <c r="J39" s="323">
        <f t="shared" si="15"/>
        <v>4.4638924638924626</v>
      </c>
      <c r="K39" s="323">
        <f t="shared" si="15"/>
        <v>5.0218790218790197</v>
      </c>
      <c r="L39" s="323">
        <f t="shared" si="15"/>
        <v>5.0218790218790197</v>
      </c>
      <c r="M39" s="323">
        <f t="shared" si="15"/>
        <v>5.0218790218790197</v>
      </c>
      <c r="N39" s="323">
        <f t="shared" si="15"/>
        <v>5.5798655798655776</v>
      </c>
      <c r="O39" s="323">
        <f t="shared" si="15"/>
        <v>5.5798655798655776</v>
      </c>
      <c r="P39" s="323">
        <f t="shared" si="15"/>
        <v>5.5798655798655776</v>
      </c>
      <c r="Q39" s="323">
        <f t="shared" si="15"/>
        <v>5.5798655798655776</v>
      </c>
      <c r="R39" s="323">
        <f t="shared" si="15"/>
        <v>5.5798655798655776</v>
      </c>
      <c r="S39" s="323">
        <f t="shared" si="15"/>
        <v>5.5798655798655776</v>
      </c>
      <c r="T39" s="323">
        <f t="shared" si="15"/>
        <v>5.5798655798655776</v>
      </c>
      <c r="U39" s="323">
        <f t="shared" si="15"/>
        <v>5.5798655798655776</v>
      </c>
      <c r="V39" s="323">
        <f t="shared" si="15"/>
        <v>5.5798655798655776</v>
      </c>
      <c r="W39" s="323">
        <f t="shared" si="15"/>
        <v>5.5798655798655776</v>
      </c>
      <c r="X39" s="323">
        <f t="shared" si="15"/>
        <v>5.5798655798655776</v>
      </c>
      <c r="Y39" s="323">
        <f t="shared" si="15"/>
        <v>5.5798655798655776</v>
      </c>
      <c r="Z39" s="323">
        <f t="shared" si="15"/>
        <v>5.5798655798655776</v>
      </c>
      <c r="AA39" s="323">
        <f t="shared" si="15"/>
        <v>5.5798655798655776</v>
      </c>
      <c r="AB39" s="323">
        <f t="shared" si="15"/>
        <v>5.5798655798655776</v>
      </c>
      <c r="AC39" s="323">
        <f t="shared" si="15"/>
        <v>3.9059059059059043</v>
      </c>
    </row>
    <row r="40" spans="1:34" s="225" customFormat="1" ht="12.75" x14ac:dyDescent="0.2">
      <c r="A40" s="240" t="s">
        <v>124</v>
      </c>
      <c r="B40" s="323">
        <f t="shared" ref="B40:AC40" si="16">IF($B145&gt;=0.9, B$36,B$36*$B145)</f>
        <v>0.85045045045045031</v>
      </c>
      <c r="C40" s="323">
        <f t="shared" si="16"/>
        <v>0.85045045045045031</v>
      </c>
      <c r="D40" s="323">
        <f t="shared" si="16"/>
        <v>0.85045045045045031</v>
      </c>
      <c r="E40" s="323">
        <f t="shared" si="16"/>
        <v>0.85045045045045031</v>
      </c>
      <c r="F40" s="323">
        <f t="shared" si="16"/>
        <v>0.85045045045045031</v>
      </c>
      <c r="G40" s="323">
        <f t="shared" si="16"/>
        <v>0.85045045045045031</v>
      </c>
      <c r="H40" s="323">
        <f t="shared" si="16"/>
        <v>0.97194337194337188</v>
      </c>
      <c r="I40" s="323">
        <f t="shared" si="16"/>
        <v>0.97194337194337188</v>
      </c>
      <c r="J40" s="323">
        <f t="shared" si="16"/>
        <v>0.97194337194337188</v>
      </c>
      <c r="K40" s="323">
        <f t="shared" si="16"/>
        <v>1.0934362934362933</v>
      </c>
      <c r="L40" s="323">
        <f t="shared" si="16"/>
        <v>1.0934362934362933</v>
      </c>
      <c r="M40" s="323">
        <f t="shared" si="16"/>
        <v>1.0934362934362933</v>
      </c>
      <c r="N40" s="323">
        <f t="shared" si="16"/>
        <v>1.2149292149292148</v>
      </c>
      <c r="O40" s="323">
        <f t="shared" si="16"/>
        <v>1.2149292149292148</v>
      </c>
      <c r="P40" s="323">
        <f t="shared" si="16"/>
        <v>1.2149292149292148</v>
      </c>
      <c r="Q40" s="323">
        <f t="shared" si="16"/>
        <v>1.2149292149292148</v>
      </c>
      <c r="R40" s="323">
        <f t="shared" si="16"/>
        <v>1.2149292149292148</v>
      </c>
      <c r="S40" s="323">
        <f t="shared" si="16"/>
        <v>1.2149292149292148</v>
      </c>
      <c r="T40" s="323">
        <f t="shared" si="16"/>
        <v>1.2149292149292148</v>
      </c>
      <c r="U40" s="323">
        <f t="shared" si="16"/>
        <v>1.2149292149292148</v>
      </c>
      <c r="V40" s="323">
        <f t="shared" si="16"/>
        <v>1.2149292149292148</v>
      </c>
      <c r="W40" s="323">
        <f t="shared" si="16"/>
        <v>1.2149292149292148</v>
      </c>
      <c r="X40" s="323">
        <f t="shared" si="16"/>
        <v>1.2149292149292148</v>
      </c>
      <c r="Y40" s="323">
        <f t="shared" si="16"/>
        <v>1.2149292149292148</v>
      </c>
      <c r="Z40" s="323">
        <f t="shared" si="16"/>
        <v>1.2149292149292148</v>
      </c>
      <c r="AA40" s="323">
        <f t="shared" si="16"/>
        <v>1.2149292149292148</v>
      </c>
      <c r="AB40" s="323">
        <f t="shared" si="16"/>
        <v>1.2149292149292148</v>
      </c>
      <c r="AC40" s="323">
        <f t="shared" si="16"/>
        <v>0.85045045045045031</v>
      </c>
    </row>
    <row r="41" spans="1:34" s="225" customFormat="1" ht="12.75" x14ac:dyDescent="0.2">
      <c r="A41" s="240" t="s">
        <v>125</v>
      </c>
      <c r="B41" s="323">
        <f t="shared" ref="B41:AC41" si="17">IF($B146&gt;=0.9, B$36,B$36*$B146)</f>
        <v>2.2266266266266261</v>
      </c>
      <c r="C41" s="323">
        <f t="shared" si="17"/>
        <v>2.2266266266266261</v>
      </c>
      <c r="D41" s="323">
        <f t="shared" si="17"/>
        <v>2.2266266266266261</v>
      </c>
      <c r="E41" s="323">
        <f t="shared" si="17"/>
        <v>2.2266266266266261</v>
      </c>
      <c r="F41" s="323">
        <f t="shared" si="17"/>
        <v>2.2266266266266261</v>
      </c>
      <c r="G41" s="323">
        <f t="shared" si="17"/>
        <v>2.2266266266266261</v>
      </c>
      <c r="H41" s="323">
        <f t="shared" si="17"/>
        <v>2.5447161447161442</v>
      </c>
      <c r="I41" s="323">
        <f t="shared" si="17"/>
        <v>2.5447161447161442</v>
      </c>
      <c r="J41" s="323">
        <f t="shared" si="17"/>
        <v>2.5447161447161442</v>
      </c>
      <c r="K41" s="323">
        <f t="shared" si="17"/>
        <v>2.8628056628056622</v>
      </c>
      <c r="L41" s="323">
        <f t="shared" si="17"/>
        <v>2.8628056628056622</v>
      </c>
      <c r="M41" s="323">
        <f t="shared" si="17"/>
        <v>2.8628056628056622</v>
      </c>
      <c r="N41" s="323">
        <f t="shared" si="17"/>
        <v>3.1808951808951802</v>
      </c>
      <c r="O41" s="323">
        <f t="shared" si="17"/>
        <v>3.1808951808951802</v>
      </c>
      <c r="P41" s="323">
        <f t="shared" si="17"/>
        <v>3.1808951808951802</v>
      </c>
      <c r="Q41" s="323">
        <f t="shared" si="17"/>
        <v>3.1808951808951802</v>
      </c>
      <c r="R41" s="323">
        <f t="shared" si="17"/>
        <v>3.1808951808951802</v>
      </c>
      <c r="S41" s="323">
        <f t="shared" si="17"/>
        <v>3.1808951808951802</v>
      </c>
      <c r="T41" s="323">
        <f t="shared" si="17"/>
        <v>3.1808951808951802</v>
      </c>
      <c r="U41" s="323">
        <f t="shared" si="17"/>
        <v>3.1808951808951802</v>
      </c>
      <c r="V41" s="323">
        <f t="shared" si="17"/>
        <v>3.1808951808951802</v>
      </c>
      <c r="W41" s="323">
        <f t="shared" si="17"/>
        <v>3.1808951808951802</v>
      </c>
      <c r="X41" s="323">
        <f t="shared" si="17"/>
        <v>3.1808951808951802</v>
      </c>
      <c r="Y41" s="323">
        <f t="shared" si="17"/>
        <v>3.1808951808951802</v>
      </c>
      <c r="Z41" s="323">
        <f t="shared" si="17"/>
        <v>3.1808951808951802</v>
      </c>
      <c r="AA41" s="323">
        <f t="shared" si="17"/>
        <v>3.1808951808951802</v>
      </c>
      <c r="AB41" s="323">
        <f t="shared" si="17"/>
        <v>3.1808951808951802</v>
      </c>
      <c r="AC41" s="323">
        <f t="shared" si="17"/>
        <v>2.2266266266266261</v>
      </c>
    </row>
    <row r="42" spans="1:34" s="225" customFormat="1" ht="12.75" x14ac:dyDescent="0.2">
      <c r="A42" s="240" t="s">
        <v>126</v>
      </c>
      <c r="B42" s="323">
        <f t="shared" ref="B42:AC42" si="18">IF($B147&gt;=0.9, B$36,B$36*$B147)</f>
        <v>3.8410410410410392</v>
      </c>
      <c r="C42" s="323">
        <f t="shared" si="18"/>
        <v>3.8410410410410392</v>
      </c>
      <c r="D42" s="323">
        <f t="shared" si="18"/>
        <v>3.8410410410410392</v>
      </c>
      <c r="E42" s="323">
        <f t="shared" si="18"/>
        <v>3.8410410410410392</v>
      </c>
      <c r="F42" s="323">
        <f t="shared" si="18"/>
        <v>3.8410410410410392</v>
      </c>
      <c r="G42" s="323">
        <f t="shared" si="18"/>
        <v>3.8410410410410392</v>
      </c>
      <c r="H42" s="323">
        <f t="shared" si="18"/>
        <v>4.3897611897611881</v>
      </c>
      <c r="I42" s="323">
        <f t="shared" si="18"/>
        <v>4.3897611897611881</v>
      </c>
      <c r="J42" s="323">
        <f t="shared" si="18"/>
        <v>4.3897611897611881</v>
      </c>
      <c r="K42" s="323">
        <f t="shared" si="18"/>
        <v>4.9384813384813366</v>
      </c>
      <c r="L42" s="323">
        <f t="shared" si="18"/>
        <v>4.9384813384813366</v>
      </c>
      <c r="M42" s="323">
        <f t="shared" si="18"/>
        <v>4.9384813384813366</v>
      </c>
      <c r="N42" s="323">
        <f t="shared" si="18"/>
        <v>5.4872014872014852</v>
      </c>
      <c r="O42" s="323">
        <f t="shared" si="18"/>
        <v>5.4872014872014852</v>
      </c>
      <c r="P42" s="323">
        <f t="shared" si="18"/>
        <v>5.4872014872014852</v>
      </c>
      <c r="Q42" s="323">
        <f t="shared" si="18"/>
        <v>5.4872014872014852</v>
      </c>
      <c r="R42" s="323">
        <f t="shared" si="18"/>
        <v>5.4872014872014852</v>
      </c>
      <c r="S42" s="323">
        <f t="shared" si="18"/>
        <v>5.4872014872014852</v>
      </c>
      <c r="T42" s="323">
        <f t="shared" si="18"/>
        <v>5.4872014872014852</v>
      </c>
      <c r="U42" s="323">
        <f t="shared" si="18"/>
        <v>5.4872014872014852</v>
      </c>
      <c r="V42" s="323">
        <f t="shared" si="18"/>
        <v>5.4872014872014852</v>
      </c>
      <c r="W42" s="323">
        <f t="shared" si="18"/>
        <v>5.4872014872014852</v>
      </c>
      <c r="X42" s="323">
        <f t="shared" si="18"/>
        <v>5.4872014872014852</v>
      </c>
      <c r="Y42" s="323">
        <f t="shared" si="18"/>
        <v>5.4872014872014852</v>
      </c>
      <c r="Z42" s="323">
        <f t="shared" si="18"/>
        <v>5.4872014872014852</v>
      </c>
      <c r="AA42" s="323">
        <f t="shared" si="18"/>
        <v>5.4872014872014852</v>
      </c>
      <c r="AB42" s="323">
        <f t="shared" si="18"/>
        <v>5.4872014872014852</v>
      </c>
      <c r="AC42" s="323">
        <f t="shared" si="18"/>
        <v>3.8410410410410392</v>
      </c>
    </row>
    <row r="43" spans="1:34" s="225" customFormat="1" ht="12.75" x14ac:dyDescent="0.2">
      <c r="A43" s="240" t="s">
        <v>127</v>
      </c>
      <c r="B43" s="323">
        <f t="shared" ref="B43:AC43" si="19">IF($B148&gt;=0.9, B$36,B$36*$B148)</f>
        <v>3.9059059059059043</v>
      </c>
      <c r="C43" s="323">
        <f t="shared" si="19"/>
        <v>3.9059059059059043</v>
      </c>
      <c r="D43" s="323">
        <f t="shared" si="19"/>
        <v>3.9059059059059043</v>
      </c>
      <c r="E43" s="323">
        <f t="shared" si="19"/>
        <v>3.9059059059059043</v>
      </c>
      <c r="F43" s="323">
        <f t="shared" si="19"/>
        <v>3.9059059059059043</v>
      </c>
      <c r="G43" s="323">
        <f t="shared" si="19"/>
        <v>3.9059059059059043</v>
      </c>
      <c r="H43" s="323">
        <f t="shared" si="19"/>
        <v>4.4638924638924626</v>
      </c>
      <c r="I43" s="323">
        <f t="shared" si="19"/>
        <v>4.4638924638924626</v>
      </c>
      <c r="J43" s="323">
        <f t="shared" si="19"/>
        <v>4.4638924638924626</v>
      </c>
      <c r="K43" s="323">
        <f t="shared" si="19"/>
        <v>5.0218790218790197</v>
      </c>
      <c r="L43" s="323">
        <f t="shared" si="19"/>
        <v>5.0218790218790197</v>
      </c>
      <c r="M43" s="323">
        <f t="shared" si="19"/>
        <v>5.0218790218790197</v>
      </c>
      <c r="N43" s="323">
        <f t="shared" si="19"/>
        <v>5.5798655798655776</v>
      </c>
      <c r="O43" s="323">
        <f t="shared" si="19"/>
        <v>5.5798655798655776</v>
      </c>
      <c r="P43" s="323">
        <f t="shared" si="19"/>
        <v>5.5798655798655776</v>
      </c>
      <c r="Q43" s="323">
        <f t="shared" si="19"/>
        <v>5.5798655798655776</v>
      </c>
      <c r="R43" s="323">
        <f t="shared" si="19"/>
        <v>5.5798655798655776</v>
      </c>
      <c r="S43" s="323">
        <f t="shared" si="19"/>
        <v>5.5798655798655776</v>
      </c>
      <c r="T43" s="323">
        <f t="shared" si="19"/>
        <v>5.5798655798655776</v>
      </c>
      <c r="U43" s="323">
        <f t="shared" si="19"/>
        <v>5.5798655798655776</v>
      </c>
      <c r="V43" s="323">
        <f t="shared" si="19"/>
        <v>5.5798655798655776</v>
      </c>
      <c r="W43" s="323">
        <f t="shared" si="19"/>
        <v>5.5798655798655776</v>
      </c>
      <c r="X43" s="323">
        <f t="shared" si="19"/>
        <v>5.5798655798655776</v>
      </c>
      <c r="Y43" s="323">
        <f t="shared" si="19"/>
        <v>5.5798655798655776</v>
      </c>
      <c r="Z43" s="323">
        <f t="shared" si="19"/>
        <v>5.5798655798655776</v>
      </c>
      <c r="AA43" s="323">
        <f t="shared" si="19"/>
        <v>5.5798655798655776</v>
      </c>
      <c r="AB43" s="323">
        <f t="shared" si="19"/>
        <v>5.5798655798655776</v>
      </c>
      <c r="AC43" s="323">
        <f t="shared" si="19"/>
        <v>3.9059059059059043</v>
      </c>
    </row>
    <row r="44" spans="1:34" s="225" customFormat="1" ht="12.75" x14ac:dyDescent="0.2">
      <c r="A44" s="240" t="s">
        <v>128</v>
      </c>
      <c r="B44" s="323">
        <f t="shared" ref="B44:AC44" si="20">IF($B149&gt;=0.9, B$36,B$36*$B149)</f>
        <v>3.9059059059059043</v>
      </c>
      <c r="C44" s="323">
        <f t="shared" si="20"/>
        <v>3.9059059059059043</v>
      </c>
      <c r="D44" s="323">
        <f t="shared" si="20"/>
        <v>3.9059059059059043</v>
      </c>
      <c r="E44" s="323">
        <f t="shared" si="20"/>
        <v>3.9059059059059043</v>
      </c>
      <c r="F44" s="323">
        <f t="shared" si="20"/>
        <v>3.9059059059059043</v>
      </c>
      <c r="G44" s="323">
        <f t="shared" si="20"/>
        <v>3.9059059059059043</v>
      </c>
      <c r="H44" s="323">
        <f t="shared" si="20"/>
        <v>4.4638924638924626</v>
      </c>
      <c r="I44" s="323">
        <f t="shared" si="20"/>
        <v>4.4638924638924626</v>
      </c>
      <c r="J44" s="323">
        <f t="shared" si="20"/>
        <v>4.4638924638924626</v>
      </c>
      <c r="K44" s="323">
        <f t="shared" si="20"/>
        <v>5.0218790218790197</v>
      </c>
      <c r="L44" s="323">
        <f t="shared" si="20"/>
        <v>5.0218790218790197</v>
      </c>
      <c r="M44" s="323">
        <f t="shared" si="20"/>
        <v>5.0218790218790197</v>
      </c>
      <c r="N44" s="323">
        <f t="shared" si="20"/>
        <v>5.5798655798655776</v>
      </c>
      <c r="O44" s="323">
        <f t="shared" si="20"/>
        <v>5.5798655798655776</v>
      </c>
      <c r="P44" s="323">
        <f t="shared" si="20"/>
        <v>5.5798655798655776</v>
      </c>
      <c r="Q44" s="323">
        <f t="shared" si="20"/>
        <v>5.5798655798655776</v>
      </c>
      <c r="R44" s="323">
        <f t="shared" si="20"/>
        <v>5.5798655798655776</v>
      </c>
      <c r="S44" s="323">
        <f t="shared" si="20"/>
        <v>5.5798655798655776</v>
      </c>
      <c r="T44" s="323">
        <f t="shared" si="20"/>
        <v>5.5798655798655776</v>
      </c>
      <c r="U44" s="323">
        <f t="shared" si="20"/>
        <v>5.5798655798655776</v>
      </c>
      <c r="V44" s="323">
        <f t="shared" si="20"/>
        <v>5.5798655798655776</v>
      </c>
      <c r="W44" s="323">
        <f t="shared" si="20"/>
        <v>5.5798655798655776</v>
      </c>
      <c r="X44" s="323">
        <f t="shared" si="20"/>
        <v>5.5798655798655776</v>
      </c>
      <c r="Y44" s="323">
        <f t="shared" si="20"/>
        <v>5.5798655798655776</v>
      </c>
      <c r="Z44" s="323">
        <f t="shared" si="20"/>
        <v>5.5798655798655776</v>
      </c>
      <c r="AA44" s="323">
        <f t="shared" si="20"/>
        <v>5.5798655798655776</v>
      </c>
      <c r="AB44" s="323">
        <f t="shared" si="20"/>
        <v>5.5798655798655776</v>
      </c>
      <c r="AC44" s="323">
        <f t="shared" si="20"/>
        <v>3.9059059059059043</v>
      </c>
    </row>
    <row r="45" spans="1:34" s="225" customFormat="1" ht="12.75" x14ac:dyDescent="0.2">
      <c r="A45" s="240" t="s">
        <v>129</v>
      </c>
      <c r="B45" s="323">
        <f>IF(B$13="Deploy",B$36,IF($B150&gt;=0.9, B$36,B$36*$B150))</f>
        <v>1.9571571571571567</v>
      </c>
      <c r="C45" s="323">
        <f t="shared" ref="C45:AC45" si="21">IF(C$13="Deploy",C$36,IF($B150&gt;=0.9, C$36,C$36*$B150))</f>
        <v>1.9571571571571567</v>
      </c>
      <c r="D45" s="323">
        <f t="shared" si="21"/>
        <v>1.9571571571571567</v>
      </c>
      <c r="E45" s="323">
        <f t="shared" si="21"/>
        <v>1.9571571571571567</v>
      </c>
      <c r="F45" s="323">
        <f t="shared" si="21"/>
        <v>1.9571571571571567</v>
      </c>
      <c r="G45" s="323">
        <f t="shared" si="21"/>
        <v>1.9571571571571567</v>
      </c>
      <c r="H45" s="323">
        <f t="shared" si="21"/>
        <v>2.2367510367510364</v>
      </c>
      <c r="I45" s="323">
        <f t="shared" si="21"/>
        <v>2.2367510367510364</v>
      </c>
      <c r="J45" s="323">
        <f t="shared" si="21"/>
        <v>2.2367510367510364</v>
      </c>
      <c r="K45" s="323">
        <f t="shared" si="21"/>
        <v>2.5163449163449161</v>
      </c>
      <c r="L45" s="323">
        <f t="shared" si="21"/>
        <v>2.5163449163449161</v>
      </c>
      <c r="M45" s="323">
        <f t="shared" si="21"/>
        <v>2.5163449163449161</v>
      </c>
      <c r="N45" s="323">
        <f t="shared" si="21"/>
        <v>2.7959387959387954</v>
      </c>
      <c r="O45" s="323">
        <f t="shared" si="21"/>
        <v>2.7959387959387954</v>
      </c>
      <c r="P45" s="323">
        <f t="shared" si="21"/>
        <v>2.7959387959387954</v>
      </c>
      <c r="Q45" s="323">
        <f t="shared" si="21"/>
        <v>2.7959387959387954</v>
      </c>
      <c r="R45" s="323">
        <f t="shared" si="21"/>
        <v>8</v>
      </c>
      <c r="S45" s="323">
        <f t="shared" si="21"/>
        <v>8</v>
      </c>
      <c r="T45" s="323">
        <f t="shared" si="21"/>
        <v>8</v>
      </c>
      <c r="U45" s="323">
        <f t="shared" si="21"/>
        <v>8</v>
      </c>
      <c r="V45" s="323">
        <f t="shared" si="21"/>
        <v>8</v>
      </c>
      <c r="W45" s="323">
        <f t="shared" si="21"/>
        <v>8</v>
      </c>
      <c r="X45" s="323">
        <f t="shared" si="21"/>
        <v>2.7959387959387954</v>
      </c>
      <c r="Y45" s="323">
        <f t="shared" si="21"/>
        <v>2.7959387959387954</v>
      </c>
      <c r="Z45" s="323">
        <f t="shared" si="21"/>
        <v>2.7959387959387954</v>
      </c>
      <c r="AA45" s="323">
        <f t="shared" si="21"/>
        <v>2.7959387959387954</v>
      </c>
      <c r="AB45" s="323">
        <f t="shared" si="21"/>
        <v>2.7959387959387954</v>
      </c>
      <c r="AC45" s="323">
        <f t="shared" si="21"/>
        <v>1.9571571571571567</v>
      </c>
    </row>
    <row r="46" spans="1:34" s="225" customFormat="1" ht="12.75" x14ac:dyDescent="0.2">
      <c r="A46" s="240" t="s">
        <v>130</v>
      </c>
      <c r="B46" s="323">
        <f t="shared" ref="B46:AC46" si="22">IF($B151&gt;=0.9, B$36,B$36*$B151)</f>
        <v>4.1689689689689668</v>
      </c>
      <c r="C46" s="323">
        <f t="shared" si="22"/>
        <v>4.1689689689689668</v>
      </c>
      <c r="D46" s="323">
        <f t="shared" si="22"/>
        <v>4.1689689689689668</v>
      </c>
      <c r="E46" s="323">
        <f t="shared" si="22"/>
        <v>4.1689689689689668</v>
      </c>
      <c r="F46" s="323">
        <f t="shared" si="22"/>
        <v>4.1689689689689668</v>
      </c>
      <c r="G46" s="323">
        <f t="shared" si="22"/>
        <v>4.1689689689689668</v>
      </c>
      <c r="H46" s="323">
        <f t="shared" si="22"/>
        <v>4.7645359645359626</v>
      </c>
      <c r="I46" s="323">
        <f t="shared" si="22"/>
        <v>4.7645359645359626</v>
      </c>
      <c r="J46" s="323">
        <f t="shared" si="22"/>
        <v>4.7645359645359626</v>
      </c>
      <c r="K46" s="323">
        <f t="shared" si="22"/>
        <v>5.3601029601029584</v>
      </c>
      <c r="L46" s="323">
        <f t="shared" si="22"/>
        <v>5.3601029601029584</v>
      </c>
      <c r="M46" s="323">
        <f t="shared" si="22"/>
        <v>5.3601029601029584</v>
      </c>
      <c r="N46" s="323">
        <f t="shared" si="22"/>
        <v>5.9556699556699533</v>
      </c>
      <c r="O46" s="323">
        <f t="shared" si="22"/>
        <v>5.9556699556699533</v>
      </c>
      <c r="P46" s="323">
        <f t="shared" si="22"/>
        <v>5.9556699556699533</v>
      </c>
      <c r="Q46" s="323">
        <f t="shared" si="22"/>
        <v>5.9556699556699533</v>
      </c>
      <c r="R46" s="323">
        <f t="shared" si="22"/>
        <v>5.9556699556699533</v>
      </c>
      <c r="S46" s="323">
        <f t="shared" si="22"/>
        <v>5.9556699556699533</v>
      </c>
      <c r="T46" s="323">
        <f t="shared" si="22"/>
        <v>5.9556699556699533</v>
      </c>
      <c r="U46" s="323">
        <f t="shared" si="22"/>
        <v>5.9556699556699533</v>
      </c>
      <c r="V46" s="323">
        <f t="shared" si="22"/>
        <v>5.9556699556699533</v>
      </c>
      <c r="W46" s="323">
        <f t="shared" si="22"/>
        <v>5.9556699556699533</v>
      </c>
      <c r="X46" s="323">
        <f t="shared" si="22"/>
        <v>5.9556699556699533</v>
      </c>
      <c r="Y46" s="323">
        <f t="shared" si="22"/>
        <v>5.9556699556699533</v>
      </c>
      <c r="Z46" s="323">
        <f t="shared" si="22"/>
        <v>5.9556699556699533</v>
      </c>
      <c r="AA46" s="323">
        <f t="shared" si="22"/>
        <v>5.9556699556699533</v>
      </c>
      <c r="AB46" s="323">
        <f t="shared" si="22"/>
        <v>5.9556699556699533</v>
      </c>
      <c r="AC46" s="323">
        <f t="shared" si="22"/>
        <v>4.1689689689689668</v>
      </c>
    </row>
    <row r="47" spans="1:34" s="225" customFormat="1" ht="12.75" x14ac:dyDescent="0.2">
      <c r="A47" s="240" t="s">
        <v>131</v>
      </c>
      <c r="B47" s="323">
        <f>IF(B$13="Deploy",B$36,IF($B152&gt;=0.9, B$36,B$36*$B152))</f>
        <v>1.8256256256256251</v>
      </c>
      <c r="C47" s="323">
        <f t="shared" ref="C47:AC47" si="23">IF(C$13="Deploy",C$36,IF($B152&gt;=0.9, C$36,C$36*$B152))</f>
        <v>1.8256256256256251</v>
      </c>
      <c r="D47" s="323">
        <f t="shared" si="23"/>
        <v>1.8256256256256251</v>
      </c>
      <c r="E47" s="323">
        <f t="shared" si="23"/>
        <v>1.8256256256256251</v>
      </c>
      <c r="F47" s="323">
        <f t="shared" si="23"/>
        <v>1.8256256256256251</v>
      </c>
      <c r="G47" s="323">
        <f t="shared" si="23"/>
        <v>1.8256256256256251</v>
      </c>
      <c r="H47" s="323">
        <f t="shared" si="23"/>
        <v>2.0864292864292859</v>
      </c>
      <c r="I47" s="323">
        <f t="shared" si="23"/>
        <v>2.0864292864292859</v>
      </c>
      <c r="J47" s="323">
        <f t="shared" si="23"/>
        <v>2.0864292864292859</v>
      </c>
      <c r="K47" s="323">
        <f t="shared" si="23"/>
        <v>2.3472329472329467</v>
      </c>
      <c r="L47" s="323">
        <f t="shared" si="23"/>
        <v>2.3472329472329467</v>
      </c>
      <c r="M47" s="323">
        <f t="shared" si="23"/>
        <v>2.3472329472329467</v>
      </c>
      <c r="N47" s="323">
        <f t="shared" si="23"/>
        <v>2.6080366080366075</v>
      </c>
      <c r="O47" s="323">
        <f t="shared" si="23"/>
        <v>2.6080366080366075</v>
      </c>
      <c r="P47" s="323">
        <f t="shared" si="23"/>
        <v>2.6080366080366075</v>
      </c>
      <c r="Q47" s="323">
        <f t="shared" si="23"/>
        <v>2.6080366080366075</v>
      </c>
      <c r="R47" s="323">
        <f t="shared" si="23"/>
        <v>8</v>
      </c>
      <c r="S47" s="323">
        <f t="shared" si="23"/>
        <v>8</v>
      </c>
      <c r="T47" s="323">
        <f t="shared" si="23"/>
        <v>8</v>
      </c>
      <c r="U47" s="323">
        <f t="shared" si="23"/>
        <v>8</v>
      </c>
      <c r="V47" s="323">
        <f t="shared" si="23"/>
        <v>8</v>
      </c>
      <c r="W47" s="323">
        <f t="shared" si="23"/>
        <v>8</v>
      </c>
      <c r="X47" s="323">
        <f t="shared" si="23"/>
        <v>2.6080366080366075</v>
      </c>
      <c r="Y47" s="323">
        <f t="shared" si="23"/>
        <v>2.6080366080366075</v>
      </c>
      <c r="Z47" s="323">
        <f t="shared" si="23"/>
        <v>2.6080366080366075</v>
      </c>
      <c r="AA47" s="323">
        <f t="shared" si="23"/>
        <v>2.6080366080366075</v>
      </c>
      <c r="AB47" s="323">
        <f t="shared" si="23"/>
        <v>2.6080366080366075</v>
      </c>
      <c r="AC47" s="323">
        <f t="shared" si="23"/>
        <v>1.8256256256256251</v>
      </c>
    </row>
    <row r="48" spans="1:34" s="225" customFormat="1" ht="12.75" x14ac:dyDescent="0.2">
      <c r="A48" s="240" t="s">
        <v>132</v>
      </c>
      <c r="B48" s="323">
        <f t="shared" ref="B48:AC48" si="24">IF($B153&gt;=0.9, B$36,B$36*$B153)</f>
        <v>5.6</v>
      </c>
      <c r="C48" s="323">
        <f t="shared" si="24"/>
        <v>5.6</v>
      </c>
      <c r="D48" s="323">
        <f t="shared" si="24"/>
        <v>5.6</v>
      </c>
      <c r="E48" s="323">
        <f t="shared" si="24"/>
        <v>5.6</v>
      </c>
      <c r="F48" s="323">
        <f t="shared" si="24"/>
        <v>5.6</v>
      </c>
      <c r="G48" s="323">
        <f t="shared" si="24"/>
        <v>5.6</v>
      </c>
      <c r="H48" s="323">
        <f t="shared" si="24"/>
        <v>6.4</v>
      </c>
      <c r="I48" s="323">
        <f t="shared" si="24"/>
        <v>6.4</v>
      </c>
      <c r="J48" s="323">
        <f t="shared" si="24"/>
        <v>6.4</v>
      </c>
      <c r="K48" s="323">
        <f t="shared" si="24"/>
        <v>7.2</v>
      </c>
      <c r="L48" s="323">
        <f t="shared" si="24"/>
        <v>7.2</v>
      </c>
      <c r="M48" s="323">
        <f t="shared" si="24"/>
        <v>7.2</v>
      </c>
      <c r="N48" s="323">
        <f t="shared" si="24"/>
        <v>8</v>
      </c>
      <c r="O48" s="323">
        <f t="shared" si="24"/>
        <v>8</v>
      </c>
      <c r="P48" s="323">
        <f t="shared" si="24"/>
        <v>8</v>
      </c>
      <c r="Q48" s="323">
        <f t="shared" si="24"/>
        <v>8</v>
      </c>
      <c r="R48" s="323">
        <f t="shared" si="24"/>
        <v>8</v>
      </c>
      <c r="S48" s="323">
        <f t="shared" si="24"/>
        <v>8</v>
      </c>
      <c r="T48" s="323">
        <f t="shared" si="24"/>
        <v>8</v>
      </c>
      <c r="U48" s="323">
        <f t="shared" si="24"/>
        <v>8</v>
      </c>
      <c r="V48" s="323">
        <f t="shared" si="24"/>
        <v>8</v>
      </c>
      <c r="W48" s="323">
        <f t="shared" si="24"/>
        <v>8</v>
      </c>
      <c r="X48" s="323">
        <f t="shared" si="24"/>
        <v>8</v>
      </c>
      <c r="Y48" s="323">
        <f t="shared" si="24"/>
        <v>8</v>
      </c>
      <c r="Z48" s="323">
        <f t="shared" si="24"/>
        <v>8</v>
      </c>
      <c r="AA48" s="323">
        <f t="shared" si="24"/>
        <v>8</v>
      </c>
      <c r="AB48" s="323">
        <f t="shared" si="24"/>
        <v>8</v>
      </c>
      <c r="AC48" s="323">
        <f t="shared" si="24"/>
        <v>5.6</v>
      </c>
    </row>
    <row r="49" spans="1:32"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row>
    <row r="50" spans="1:32" x14ac:dyDescent="0.2">
      <c r="A50" s="296" t="s">
        <v>134</v>
      </c>
      <c r="B50" s="67">
        <v>5</v>
      </c>
      <c r="C50" s="67">
        <v>5</v>
      </c>
      <c r="D50" s="67">
        <v>5</v>
      </c>
      <c r="E50" s="67">
        <v>5</v>
      </c>
      <c r="F50" s="67">
        <v>5</v>
      </c>
      <c r="G50" s="67">
        <v>5</v>
      </c>
      <c r="H50" s="67">
        <v>6</v>
      </c>
      <c r="I50" s="67">
        <v>6</v>
      </c>
      <c r="J50" s="67">
        <v>6</v>
      </c>
      <c r="K50" s="67">
        <v>7</v>
      </c>
      <c r="L50" s="67">
        <v>7</v>
      </c>
      <c r="M50" s="67">
        <v>7</v>
      </c>
      <c r="N50" s="67">
        <v>8</v>
      </c>
      <c r="O50" s="67">
        <v>8</v>
      </c>
      <c r="P50" s="67">
        <v>8</v>
      </c>
      <c r="Q50" s="67">
        <v>8</v>
      </c>
      <c r="R50" s="67">
        <v>8</v>
      </c>
      <c r="S50" s="67">
        <v>8</v>
      </c>
      <c r="T50" s="67">
        <v>8</v>
      </c>
      <c r="U50" s="67">
        <v>8</v>
      </c>
      <c r="V50" s="67">
        <v>8</v>
      </c>
      <c r="W50" s="67">
        <v>8</v>
      </c>
      <c r="X50" s="67">
        <v>8</v>
      </c>
      <c r="Y50" s="67">
        <v>8</v>
      </c>
      <c r="Z50" s="67">
        <v>8</v>
      </c>
      <c r="AA50" s="67">
        <v>8</v>
      </c>
      <c r="AB50" s="356">
        <v>8</v>
      </c>
      <c r="AC50" s="67">
        <v>5</v>
      </c>
      <c r="AD50" s="38"/>
      <c r="AE50" s="38"/>
      <c r="AF50" s="38"/>
    </row>
    <row r="51" spans="1:32" x14ac:dyDescent="0.2">
      <c r="A51" s="66" t="s">
        <v>135</v>
      </c>
      <c r="B51" s="67">
        <f t="shared" ref="B51:AC51" si="25">ROUND(1*B50,2)</f>
        <v>5</v>
      </c>
      <c r="C51" s="67">
        <f t="shared" si="25"/>
        <v>5</v>
      </c>
      <c r="D51" s="67">
        <f t="shared" si="25"/>
        <v>5</v>
      </c>
      <c r="E51" s="67">
        <f t="shared" si="25"/>
        <v>5</v>
      </c>
      <c r="F51" s="67">
        <f t="shared" si="25"/>
        <v>5</v>
      </c>
      <c r="G51" s="67">
        <f t="shared" si="25"/>
        <v>5</v>
      </c>
      <c r="H51" s="67">
        <f t="shared" si="25"/>
        <v>6</v>
      </c>
      <c r="I51" s="67">
        <f t="shared" si="25"/>
        <v>6</v>
      </c>
      <c r="J51" s="67">
        <f t="shared" si="25"/>
        <v>6</v>
      </c>
      <c r="K51" s="67">
        <f t="shared" si="25"/>
        <v>7</v>
      </c>
      <c r="L51" s="67">
        <f t="shared" si="25"/>
        <v>7</v>
      </c>
      <c r="M51" s="67">
        <f t="shared" si="25"/>
        <v>7</v>
      </c>
      <c r="N51" s="67">
        <f t="shared" si="25"/>
        <v>8</v>
      </c>
      <c r="O51" s="67">
        <f t="shared" si="25"/>
        <v>8</v>
      </c>
      <c r="P51" s="67">
        <f t="shared" si="25"/>
        <v>8</v>
      </c>
      <c r="Q51" s="67">
        <f t="shared" si="25"/>
        <v>8</v>
      </c>
      <c r="R51" s="67">
        <f t="shared" si="25"/>
        <v>8</v>
      </c>
      <c r="S51" s="67">
        <f t="shared" si="25"/>
        <v>8</v>
      </c>
      <c r="T51" s="67">
        <f t="shared" si="25"/>
        <v>8</v>
      </c>
      <c r="U51" s="67">
        <f t="shared" si="25"/>
        <v>8</v>
      </c>
      <c r="V51" s="67">
        <f t="shared" si="25"/>
        <v>8</v>
      </c>
      <c r="W51" s="67">
        <f t="shared" si="25"/>
        <v>8</v>
      </c>
      <c r="X51" s="67">
        <f t="shared" si="25"/>
        <v>8</v>
      </c>
      <c r="Y51" s="67">
        <f t="shared" si="25"/>
        <v>8</v>
      </c>
      <c r="Z51" s="67">
        <f t="shared" si="25"/>
        <v>8</v>
      </c>
      <c r="AA51" s="67">
        <f t="shared" si="25"/>
        <v>8</v>
      </c>
      <c r="AB51" s="356">
        <f t="shared" si="25"/>
        <v>8</v>
      </c>
      <c r="AC51" s="67">
        <f t="shared" si="25"/>
        <v>5</v>
      </c>
      <c r="AD51" s="14"/>
      <c r="AE51" s="14"/>
      <c r="AF51" s="14"/>
    </row>
    <row r="52" spans="1:32" s="30" customFormat="1" x14ac:dyDescent="0.2">
      <c r="A52" s="64" t="s">
        <v>136</v>
      </c>
      <c r="B52" s="68">
        <v>4</v>
      </c>
      <c r="C52" s="68">
        <v>4</v>
      </c>
      <c r="D52" s="68">
        <v>4</v>
      </c>
      <c r="E52" s="68">
        <v>4</v>
      </c>
      <c r="F52" s="68">
        <v>4</v>
      </c>
      <c r="G52" s="68">
        <v>4</v>
      </c>
      <c r="H52" s="68">
        <v>4</v>
      </c>
      <c r="I52" s="68">
        <v>5</v>
      </c>
      <c r="J52" s="68">
        <v>5</v>
      </c>
      <c r="K52" s="68">
        <v>6</v>
      </c>
      <c r="L52" s="68">
        <v>6</v>
      </c>
      <c r="M52" s="68">
        <v>6</v>
      </c>
      <c r="N52" s="68">
        <v>6</v>
      </c>
      <c r="O52" s="68">
        <v>6</v>
      </c>
      <c r="P52" s="68">
        <v>6</v>
      </c>
      <c r="Q52" s="68">
        <v>6</v>
      </c>
      <c r="R52" s="68">
        <v>6</v>
      </c>
      <c r="S52" s="68">
        <v>6</v>
      </c>
      <c r="T52" s="68">
        <v>6</v>
      </c>
      <c r="U52" s="68">
        <v>6</v>
      </c>
      <c r="V52" s="68">
        <v>6</v>
      </c>
      <c r="W52" s="68">
        <v>6</v>
      </c>
      <c r="X52" s="68">
        <v>6</v>
      </c>
      <c r="Y52" s="68">
        <v>6</v>
      </c>
      <c r="Z52" s="68">
        <v>6</v>
      </c>
      <c r="AA52" s="68">
        <v>6</v>
      </c>
      <c r="AB52" s="223">
        <v>6</v>
      </c>
      <c r="AC52" s="68">
        <v>6</v>
      </c>
      <c r="AD52" s="14"/>
      <c r="AE52" s="14"/>
      <c r="AF52" s="14"/>
    </row>
    <row r="53" spans="1:32" s="30" customFormat="1" x14ac:dyDescent="0.2">
      <c r="A53" s="64" t="s">
        <v>137</v>
      </c>
      <c r="B53" s="65">
        <v>3</v>
      </c>
      <c r="C53" s="65">
        <v>3</v>
      </c>
      <c r="D53" s="65">
        <v>3</v>
      </c>
      <c r="E53" s="65">
        <v>3</v>
      </c>
      <c r="F53" s="65">
        <v>3</v>
      </c>
      <c r="G53" s="65">
        <v>3</v>
      </c>
      <c r="H53" s="65">
        <v>3</v>
      </c>
      <c r="I53" s="65">
        <v>3.75</v>
      </c>
      <c r="J53" s="65">
        <v>3.75</v>
      </c>
      <c r="K53" s="65">
        <v>4.5</v>
      </c>
      <c r="L53" s="65">
        <v>4.5</v>
      </c>
      <c r="M53" s="65">
        <v>4.5</v>
      </c>
      <c r="N53" s="65">
        <v>4.5</v>
      </c>
      <c r="O53" s="65">
        <v>4.5</v>
      </c>
      <c r="P53" s="65">
        <v>4.5</v>
      </c>
      <c r="Q53" s="65">
        <v>4.5</v>
      </c>
      <c r="R53" s="65">
        <v>4.5</v>
      </c>
      <c r="S53" s="65">
        <v>4.5</v>
      </c>
      <c r="T53" s="65">
        <v>4.5</v>
      </c>
      <c r="U53" s="65">
        <v>4.5</v>
      </c>
      <c r="V53" s="65">
        <v>4.5</v>
      </c>
      <c r="W53" s="65">
        <v>4.5</v>
      </c>
      <c r="X53" s="65">
        <v>4.5</v>
      </c>
      <c r="Y53" s="65">
        <v>4.5</v>
      </c>
      <c r="Z53" s="65">
        <v>4.5</v>
      </c>
      <c r="AA53" s="65">
        <v>4.5</v>
      </c>
      <c r="AB53" s="357">
        <v>4.5</v>
      </c>
      <c r="AC53" s="65">
        <v>4.5</v>
      </c>
      <c r="AD53" s="14"/>
      <c r="AE53" s="14"/>
      <c r="AF53" s="14"/>
    </row>
    <row r="54" spans="1:32"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D54" s="23"/>
      <c r="AE54" s="23"/>
      <c r="AF54" s="23"/>
    </row>
    <row r="55" spans="1:32" s="30" customFormat="1" x14ac:dyDescent="0.2">
      <c r="A55" s="19" t="s">
        <v>139</v>
      </c>
      <c r="B55" s="41">
        <f t="shared" ref="B55:AC55" si="26">$B$95</f>
        <v>15</v>
      </c>
      <c r="C55" s="41">
        <f t="shared" si="26"/>
        <v>15</v>
      </c>
      <c r="D55" s="41">
        <f t="shared" si="26"/>
        <v>15</v>
      </c>
      <c r="E55" s="41">
        <f t="shared" si="26"/>
        <v>15</v>
      </c>
      <c r="F55" s="41">
        <f t="shared" si="26"/>
        <v>15</v>
      </c>
      <c r="G55" s="41">
        <f t="shared" si="26"/>
        <v>15</v>
      </c>
      <c r="H55" s="41">
        <f t="shared" si="26"/>
        <v>15</v>
      </c>
      <c r="I55" s="41">
        <f t="shared" si="26"/>
        <v>15</v>
      </c>
      <c r="J55" s="41">
        <f t="shared" si="26"/>
        <v>15</v>
      </c>
      <c r="K55" s="41">
        <f t="shared" si="26"/>
        <v>15</v>
      </c>
      <c r="L55" s="41">
        <f t="shared" si="26"/>
        <v>15</v>
      </c>
      <c r="M55" s="41">
        <f t="shared" si="26"/>
        <v>15</v>
      </c>
      <c r="N55" s="41">
        <f t="shared" si="26"/>
        <v>15</v>
      </c>
      <c r="O55" s="41">
        <f t="shared" si="26"/>
        <v>15</v>
      </c>
      <c r="P55" s="41">
        <f t="shared" si="26"/>
        <v>15</v>
      </c>
      <c r="Q55" s="41">
        <f t="shared" si="26"/>
        <v>15</v>
      </c>
      <c r="R55" s="41">
        <f t="shared" si="26"/>
        <v>15</v>
      </c>
      <c r="S55" s="41">
        <f t="shared" si="26"/>
        <v>15</v>
      </c>
      <c r="T55" s="41">
        <f t="shared" si="26"/>
        <v>15</v>
      </c>
      <c r="U55" s="41">
        <f t="shared" si="26"/>
        <v>15</v>
      </c>
      <c r="V55" s="41">
        <f t="shared" si="26"/>
        <v>15</v>
      </c>
      <c r="W55" s="41">
        <f t="shared" si="26"/>
        <v>15</v>
      </c>
      <c r="X55" s="41">
        <f t="shared" si="26"/>
        <v>15</v>
      </c>
      <c r="Y55" s="41">
        <f t="shared" si="26"/>
        <v>15</v>
      </c>
      <c r="Z55" s="41">
        <f t="shared" si="26"/>
        <v>15</v>
      </c>
      <c r="AA55" s="41">
        <f t="shared" si="26"/>
        <v>15</v>
      </c>
      <c r="AB55" s="349">
        <f t="shared" si="26"/>
        <v>15</v>
      </c>
      <c r="AC55" s="112">
        <f t="shared" si="26"/>
        <v>15</v>
      </c>
    </row>
    <row r="56" spans="1:32" s="30" customFormat="1" x14ac:dyDescent="0.2">
      <c r="A56" s="42" t="s">
        <v>140</v>
      </c>
      <c r="B56" s="43">
        <f t="shared" ref="B56:AC56" si="27">ROUNDUP(IF(B$13="Deploy",MAX((B$89/100)*$B96,$B96),(B$89/100)*$B96),0)</f>
        <v>6</v>
      </c>
      <c r="C56" s="43">
        <f t="shared" si="27"/>
        <v>6</v>
      </c>
      <c r="D56" s="43">
        <f t="shared" si="27"/>
        <v>6</v>
      </c>
      <c r="E56" s="43">
        <f t="shared" si="27"/>
        <v>6</v>
      </c>
      <c r="F56" s="43">
        <f t="shared" si="27"/>
        <v>6</v>
      </c>
      <c r="G56" s="43">
        <f t="shared" si="27"/>
        <v>6</v>
      </c>
      <c r="H56" s="43">
        <f t="shared" si="27"/>
        <v>7</v>
      </c>
      <c r="I56" s="43">
        <f t="shared" si="27"/>
        <v>9</v>
      </c>
      <c r="J56" s="43">
        <f t="shared" si="27"/>
        <v>10</v>
      </c>
      <c r="K56" s="43">
        <f t="shared" si="27"/>
        <v>10</v>
      </c>
      <c r="L56" s="43">
        <f t="shared" si="27"/>
        <v>12</v>
      </c>
      <c r="M56" s="43">
        <f t="shared" si="27"/>
        <v>13</v>
      </c>
      <c r="N56" s="43">
        <f t="shared" si="27"/>
        <v>13</v>
      </c>
      <c r="O56" s="43">
        <f t="shared" si="27"/>
        <v>13</v>
      </c>
      <c r="P56" s="43">
        <f t="shared" si="27"/>
        <v>13</v>
      </c>
      <c r="Q56" s="43">
        <f t="shared" si="27"/>
        <v>13</v>
      </c>
      <c r="R56" s="43">
        <f t="shared" si="27"/>
        <v>15</v>
      </c>
      <c r="S56" s="43">
        <f t="shared" si="27"/>
        <v>15</v>
      </c>
      <c r="T56" s="43">
        <f t="shared" si="27"/>
        <v>15</v>
      </c>
      <c r="U56" s="43">
        <f t="shared" si="27"/>
        <v>15</v>
      </c>
      <c r="V56" s="43">
        <f t="shared" si="27"/>
        <v>15</v>
      </c>
      <c r="W56" s="43">
        <f t="shared" si="27"/>
        <v>15</v>
      </c>
      <c r="X56" s="43">
        <f t="shared" si="27"/>
        <v>15</v>
      </c>
      <c r="Y56" s="43">
        <f t="shared" si="27"/>
        <v>14</v>
      </c>
      <c r="Z56" s="43">
        <f t="shared" si="27"/>
        <v>13</v>
      </c>
      <c r="AA56" s="43">
        <f t="shared" si="27"/>
        <v>13</v>
      </c>
      <c r="AB56" s="350">
        <f t="shared" si="27"/>
        <v>13</v>
      </c>
      <c r="AC56" s="43">
        <f t="shared" si="27"/>
        <v>6</v>
      </c>
    </row>
    <row r="57" spans="1:32" s="30" customFormat="1" x14ac:dyDescent="0.2">
      <c r="A57" s="66" t="s">
        <v>141</v>
      </c>
      <c r="B57" s="69">
        <f>B55</f>
        <v>15</v>
      </c>
      <c r="C57" s="69">
        <f t="shared" ref="C57:AB58" si="28">C55</f>
        <v>15</v>
      </c>
      <c r="D57" s="69">
        <f t="shared" si="28"/>
        <v>15</v>
      </c>
      <c r="E57" s="69">
        <f t="shared" si="28"/>
        <v>15</v>
      </c>
      <c r="F57" s="69">
        <f t="shared" si="28"/>
        <v>15</v>
      </c>
      <c r="G57" s="69">
        <f t="shared" si="28"/>
        <v>15</v>
      </c>
      <c r="H57" s="69">
        <f t="shared" si="28"/>
        <v>15</v>
      </c>
      <c r="I57" s="69">
        <f t="shared" si="28"/>
        <v>15</v>
      </c>
      <c r="J57" s="69">
        <f t="shared" si="28"/>
        <v>15</v>
      </c>
      <c r="K57" s="69">
        <f t="shared" si="28"/>
        <v>15</v>
      </c>
      <c r="L57" s="69">
        <f t="shared" si="28"/>
        <v>15</v>
      </c>
      <c r="M57" s="69">
        <f t="shared" si="28"/>
        <v>15</v>
      </c>
      <c r="N57" s="69">
        <f t="shared" si="28"/>
        <v>15</v>
      </c>
      <c r="O57" s="69">
        <f t="shared" si="28"/>
        <v>15</v>
      </c>
      <c r="P57" s="69">
        <f t="shared" si="28"/>
        <v>15</v>
      </c>
      <c r="Q57" s="69">
        <f t="shared" si="28"/>
        <v>15</v>
      </c>
      <c r="R57" s="69">
        <f t="shared" si="28"/>
        <v>15</v>
      </c>
      <c r="S57" s="69">
        <f t="shared" si="28"/>
        <v>15</v>
      </c>
      <c r="T57" s="69">
        <f t="shared" si="28"/>
        <v>15</v>
      </c>
      <c r="U57" s="69">
        <f t="shared" si="28"/>
        <v>15</v>
      </c>
      <c r="V57" s="69">
        <f t="shared" si="28"/>
        <v>15</v>
      </c>
      <c r="W57" s="69">
        <f t="shared" si="28"/>
        <v>15</v>
      </c>
      <c r="X57" s="69">
        <f t="shared" si="28"/>
        <v>15</v>
      </c>
      <c r="Y57" s="69">
        <f t="shared" si="28"/>
        <v>15</v>
      </c>
      <c r="Z57" s="69">
        <f t="shared" si="28"/>
        <v>15</v>
      </c>
      <c r="AA57" s="69">
        <f t="shared" si="28"/>
        <v>15</v>
      </c>
      <c r="AB57" s="351">
        <f t="shared" si="28"/>
        <v>15</v>
      </c>
      <c r="AC57" s="69">
        <f>AC55</f>
        <v>15</v>
      </c>
    </row>
    <row r="58" spans="1:32" s="30" customFormat="1" x14ac:dyDescent="0.2">
      <c r="A58" s="78" t="s">
        <v>142</v>
      </c>
      <c r="B58" s="79">
        <f>C58</f>
        <v>6</v>
      </c>
      <c r="C58" s="79">
        <f>D58</f>
        <v>6</v>
      </c>
      <c r="D58" s="79">
        <f t="shared" si="28"/>
        <v>6</v>
      </c>
      <c r="E58" s="79">
        <f t="shared" si="28"/>
        <v>6</v>
      </c>
      <c r="F58" s="79">
        <f t="shared" si="28"/>
        <v>6</v>
      </c>
      <c r="G58" s="79">
        <f t="shared" si="28"/>
        <v>6</v>
      </c>
      <c r="H58" s="79">
        <f t="shared" si="28"/>
        <v>7</v>
      </c>
      <c r="I58" s="79">
        <f t="shared" si="28"/>
        <v>9</v>
      </c>
      <c r="J58" s="79">
        <f t="shared" si="28"/>
        <v>10</v>
      </c>
      <c r="K58" s="79">
        <f t="shared" si="28"/>
        <v>10</v>
      </c>
      <c r="L58" s="79">
        <f t="shared" si="28"/>
        <v>12</v>
      </c>
      <c r="M58" s="79">
        <f t="shared" si="28"/>
        <v>13</v>
      </c>
      <c r="N58" s="79">
        <f t="shared" si="28"/>
        <v>13</v>
      </c>
      <c r="O58" s="79">
        <f t="shared" si="28"/>
        <v>13</v>
      </c>
      <c r="P58" s="79">
        <f t="shared" si="28"/>
        <v>13</v>
      </c>
      <c r="Q58" s="79">
        <f t="shared" si="28"/>
        <v>13</v>
      </c>
      <c r="R58" s="79">
        <f t="shared" si="28"/>
        <v>15</v>
      </c>
      <c r="S58" s="79">
        <f t="shared" si="28"/>
        <v>15</v>
      </c>
      <c r="T58" s="79">
        <f t="shared" si="28"/>
        <v>15</v>
      </c>
      <c r="U58" s="79">
        <f t="shared" si="28"/>
        <v>15</v>
      </c>
      <c r="V58" s="79">
        <f t="shared" si="28"/>
        <v>15</v>
      </c>
      <c r="W58" s="79">
        <f t="shared" si="28"/>
        <v>15</v>
      </c>
      <c r="X58" s="79">
        <f t="shared" si="28"/>
        <v>15</v>
      </c>
      <c r="Y58" s="79">
        <f t="shared" si="28"/>
        <v>14</v>
      </c>
      <c r="Z58" s="79">
        <f t="shared" si="28"/>
        <v>13</v>
      </c>
      <c r="AA58" s="79">
        <f t="shared" si="28"/>
        <v>13</v>
      </c>
      <c r="AB58" s="352">
        <f t="shared" si="28"/>
        <v>13</v>
      </c>
      <c r="AC58" s="79">
        <f>AC56</f>
        <v>6</v>
      </c>
    </row>
    <row r="59" spans="1:32" s="30" customFormat="1" x14ac:dyDescent="0.2">
      <c r="A59" s="42" t="str">
        <f t="shared" ref="A59:A73" si="29">A99</f>
        <v>&gt; L4 Pilots</v>
      </c>
      <c r="B59" s="43">
        <f t="shared" ref="B59:AC59" si="30">ROUNDUP(IF(B$13="Deploy",MAX((B$89/100)*$B99,$B99),(B$89/100)*$B99),0)</f>
        <v>2</v>
      </c>
      <c r="C59" s="43">
        <f t="shared" si="30"/>
        <v>2</v>
      </c>
      <c r="D59" s="43">
        <f t="shared" si="30"/>
        <v>2</v>
      </c>
      <c r="E59" s="43">
        <f t="shared" si="30"/>
        <v>2</v>
      </c>
      <c r="F59" s="43">
        <f t="shared" si="30"/>
        <v>2</v>
      </c>
      <c r="G59" s="43">
        <f t="shared" si="30"/>
        <v>2</v>
      </c>
      <c r="H59" s="43">
        <f t="shared" si="30"/>
        <v>3</v>
      </c>
      <c r="I59" s="43">
        <f t="shared" si="30"/>
        <v>3</v>
      </c>
      <c r="J59" s="43">
        <f t="shared" si="30"/>
        <v>4</v>
      </c>
      <c r="K59" s="43">
        <f t="shared" si="30"/>
        <v>4</v>
      </c>
      <c r="L59" s="43">
        <f t="shared" si="30"/>
        <v>4</v>
      </c>
      <c r="M59" s="43">
        <f t="shared" si="30"/>
        <v>5</v>
      </c>
      <c r="N59" s="43">
        <f t="shared" si="30"/>
        <v>5</v>
      </c>
      <c r="O59" s="43">
        <f t="shared" si="30"/>
        <v>5</v>
      </c>
      <c r="P59" s="43">
        <f t="shared" si="30"/>
        <v>5</v>
      </c>
      <c r="Q59" s="43">
        <f t="shared" si="30"/>
        <v>5</v>
      </c>
      <c r="R59" s="43">
        <f t="shared" si="30"/>
        <v>5</v>
      </c>
      <c r="S59" s="43">
        <f t="shared" si="30"/>
        <v>5</v>
      </c>
      <c r="T59" s="43">
        <f t="shared" si="30"/>
        <v>5</v>
      </c>
      <c r="U59" s="43">
        <f t="shared" si="30"/>
        <v>5</v>
      </c>
      <c r="V59" s="43">
        <f t="shared" si="30"/>
        <v>5</v>
      </c>
      <c r="W59" s="43">
        <f t="shared" si="30"/>
        <v>5</v>
      </c>
      <c r="X59" s="43">
        <f t="shared" si="30"/>
        <v>5</v>
      </c>
      <c r="Y59" s="43">
        <f t="shared" si="30"/>
        <v>5</v>
      </c>
      <c r="Z59" s="43">
        <f t="shared" si="30"/>
        <v>5</v>
      </c>
      <c r="AA59" s="43">
        <f t="shared" si="30"/>
        <v>5</v>
      </c>
      <c r="AB59" s="350">
        <f t="shared" si="30"/>
        <v>5</v>
      </c>
      <c r="AC59" s="43">
        <f t="shared" si="30"/>
        <v>2</v>
      </c>
    </row>
    <row r="60" spans="1:32" s="30" customFormat="1" x14ac:dyDescent="0.2">
      <c r="A60" s="42" t="str">
        <f t="shared" si="29"/>
        <v>&gt; L3 Pilots</v>
      </c>
      <c r="B60" s="43">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2" s="30" customFormat="1" x14ac:dyDescent="0.2">
      <c r="A61" s="42" t="str">
        <f t="shared" si="29"/>
        <v>&gt; L2 Pilots</v>
      </c>
      <c r="B61" s="43">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2" s="30" customFormat="1" x14ac:dyDescent="0.2">
      <c r="A62" s="42" t="str">
        <f t="shared" si="29"/>
        <v>&gt; L1 Pilots</v>
      </c>
      <c r="B62" s="43">
        <f t="shared" ref="B62:AC62" si="33">ROUNDUP(IF(B$13="Deploy",MAX((B$89/100)*$B102,$B102),(B$89/100)*$B102),0)</f>
        <v>6</v>
      </c>
      <c r="C62" s="43">
        <f t="shared" si="33"/>
        <v>6</v>
      </c>
      <c r="D62" s="43">
        <f t="shared" si="33"/>
        <v>6</v>
      </c>
      <c r="E62" s="43">
        <f t="shared" si="33"/>
        <v>6</v>
      </c>
      <c r="F62" s="43">
        <f t="shared" si="33"/>
        <v>6</v>
      </c>
      <c r="G62" s="43">
        <f t="shared" si="33"/>
        <v>6</v>
      </c>
      <c r="H62" s="43">
        <f t="shared" si="33"/>
        <v>7</v>
      </c>
      <c r="I62" s="43">
        <f t="shared" si="33"/>
        <v>9</v>
      </c>
      <c r="J62" s="43">
        <f t="shared" si="33"/>
        <v>10</v>
      </c>
      <c r="K62" s="43">
        <f t="shared" si="33"/>
        <v>10</v>
      </c>
      <c r="L62" s="43">
        <f t="shared" si="33"/>
        <v>12</v>
      </c>
      <c r="M62" s="43">
        <f t="shared" si="33"/>
        <v>13</v>
      </c>
      <c r="N62" s="43">
        <f t="shared" si="33"/>
        <v>13</v>
      </c>
      <c r="O62" s="43">
        <f t="shared" si="33"/>
        <v>13</v>
      </c>
      <c r="P62" s="43">
        <f t="shared" si="33"/>
        <v>13</v>
      </c>
      <c r="Q62" s="43">
        <f t="shared" si="33"/>
        <v>13</v>
      </c>
      <c r="R62" s="43">
        <f t="shared" si="33"/>
        <v>15</v>
      </c>
      <c r="S62" s="43">
        <f t="shared" si="33"/>
        <v>15</v>
      </c>
      <c r="T62" s="43">
        <f t="shared" si="33"/>
        <v>15</v>
      </c>
      <c r="U62" s="43">
        <f t="shared" si="33"/>
        <v>15</v>
      </c>
      <c r="V62" s="43">
        <f t="shared" si="33"/>
        <v>15</v>
      </c>
      <c r="W62" s="43">
        <f t="shared" si="33"/>
        <v>15</v>
      </c>
      <c r="X62" s="43">
        <f t="shared" si="33"/>
        <v>15</v>
      </c>
      <c r="Y62" s="43">
        <f t="shared" si="33"/>
        <v>14</v>
      </c>
      <c r="Z62" s="43">
        <f t="shared" si="33"/>
        <v>13</v>
      </c>
      <c r="AA62" s="43">
        <f t="shared" si="33"/>
        <v>13</v>
      </c>
      <c r="AB62" s="350">
        <f t="shared" si="33"/>
        <v>13</v>
      </c>
      <c r="AC62" s="43">
        <f t="shared" si="33"/>
        <v>6</v>
      </c>
    </row>
    <row r="63" spans="1:32" s="30" customFormat="1" x14ac:dyDescent="0.2">
      <c r="A63" s="42" t="str">
        <f t="shared" si="29"/>
        <v>&gt; L4 WSO</v>
      </c>
      <c r="B63" s="43">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2" s="30" customFormat="1" x14ac:dyDescent="0.2">
      <c r="A64" s="42" t="str">
        <f t="shared" si="29"/>
        <v>&gt; L3 WSO</v>
      </c>
      <c r="B64" s="43">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s="30" customFormat="1" x14ac:dyDescent="0.2">
      <c r="A65" s="42" t="str">
        <f t="shared" si="29"/>
        <v>&gt; L2 WSO</v>
      </c>
      <c r="B65" s="43">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s="30" customFormat="1" x14ac:dyDescent="0.2">
      <c r="A66" s="42" t="str">
        <f t="shared" si="29"/>
        <v>&gt; L1 WSO</v>
      </c>
      <c r="B66" s="43">
        <f t="shared" ref="B66:AC66" si="37">ROUNDUP(IF(B$13="Deploy",MAX((B$89/100)*$B106,$B106),(B$89/100)*$B106),0)</f>
        <v>6</v>
      </c>
      <c r="C66" s="43">
        <f t="shared" si="37"/>
        <v>6</v>
      </c>
      <c r="D66" s="43">
        <f t="shared" si="37"/>
        <v>6</v>
      </c>
      <c r="E66" s="43">
        <f t="shared" si="37"/>
        <v>6</v>
      </c>
      <c r="F66" s="43">
        <f t="shared" si="37"/>
        <v>6</v>
      </c>
      <c r="G66" s="43">
        <f t="shared" si="37"/>
        <v>6</v>
      </c>
      <c r="H66" s="43">
        <f t="shared" si="37"/>
        <v>7</v>
      </c>
      <c r="I66" s="43">
        <f t="shared" si="37"/>
        <v>9</v>
      </c>
      <c r="J66" s="43">
        <f t="shared" si="37"/>
        <v>10</v>
      </c>
      <c r="K66" s="43">
        <f t="shared" si="37"/>
        <v>10</v>
      </c>
      <c r="L66" s="43">
        <f t="shared" si="37"/>
        <v>12</v>
      </c>
      <c r="M66" s="43">
        <f t="shared" si="37"/>
        <v>13</v>
      </c>
      <c r="N66" s="43">
        <f t="shared" si="37"/>
        <v>13</v>
      </c>
      <c r="O66" s="43">
        <f t="shared" si="37"/>
        <v>13</v>
      </c>
      <c r="P66" s="43">
        <f t="shared" si="37"/>
        <v>13</v>
      </c>
      <c r="Q66" s="43">
        <f t="shared" si="37"/>
        <v>13</v>
      </c>
      <c r="R66" s="43">
        <f t="shared" si="37"/>
        <v>15</v>
      </c>
      <c r="S66" s="43">
        <f t="shared" si="37"/>
        <v>15</v>
      </c>
      <c r="T66" s="43">
        <f t="shared" si="37"/>
        <v>15</v>
      </c>
      <c r="U66" s="43">
        <f t="shared" si="37"/>
        <v>15</v>
      </c>
      <c r="V66" s="43">
        <f t="shared" si="37"/>
        <v>15</v>
      </c>
      <c r="W66" s="43">
        <f t="shared" si="37"/>
        <v>15</v>
      </c>
      <c r="X66" s="43">
        <f t="shared" si="37"/>
        <v>15</v>
      </c>
      <c r="Y66" s="43">
        <f t="shared" si="37"/>
        <v>14</v>
      </c>
      <c r="Z66" s="43">
        <f t="shared" si="37"/>
        <v>13</v>
      </c>
      <c r="AA66" s="43">
        <f t="shared" si="37"/>
        <v>13</v>
      </c>
      <c r="AB66" s="350">
        <f t="shared" si="37"/>
        <v>13</v>
      </c>
      <c r="AC66" s="43">
        <f t="shared" si="37"/>
        <v>6</v>
      </c>
    </row>
    <row r="67" spans="1:47" s="30" customFormat="1" x14ac:dyDescent="0.2">
      <c r="A67" s="42" t="str">
        <f t="shared" si="29"/>
        <v>NVG Qual - Pilot</v>
      </c>
      <c r="B67" s="43">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30" customFormat="1" x14ac:dyDescent="0.2">
      <c r="A68" s="42" t="str">
        <f t="shared" si="29"/>
        <v>NVG Qual - WSO</v>
      </c>
      <c r="B68" s="43">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30" customFormat="1" x14ac:dyDescent="0.2">
      <c r="A69" s="42" t="str">
        <f t="shared" si="29"/>
        <v>JHMCS Qual - Pilot</v>
      </c>
      <c r="B69" s="43">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30" customFormat="1" x14ac:dyDescent="0.2">
      <c r="A70" s="42" t="str">
        <f t="shared" si="29"/>
        <v>JMPS SME</v>
      </c>
      <c r="B70" s="43">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30" customFormat="1" x14ac:dyDescent="0.2">
      <c r="A71" s="42" t="str">
        <f t="shared" si="29"/>
        <v xml:space="preserve">CVW STK LEAD </v>
      </c>
      <c r="B71" s="43">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30" customFormat="1" x14ac:dyDescent="0.2">
      <c r="A72" s="42" t="str">
        <f t="shared" si="29"/>
        <v>FAC(A) - Pilot</v>
      </c>
      <c r="B72" s="43">
        <f t="shared" ref="B72:AB72" si="43">ROUNDUP(IF(B$13="Deploy",MAX((B$89/100)*$B112,$B112),(B$89/100)*$B112),0)</f>
        <v>2</v>
      </c>
      <c r="C72" s="43">
        <f t="shared" si="43"/>
        <v>2</v>
      </c>
      <c r="D72" s="43">
        <f t="shared" si="43"/>
        <v>2</v>
      </c>
      <c r="E72" s="43">
        <f t="shared" si="43"/>
        <v>2</v>
      </c>
      <c r="F72" s="43">
        <f t="shared" si="43"/>
        <v>2</v>
      </c>
      <c r="G72" s="43">
        <f t="shared" si="43"/>
        <v>2</v>
      </c>
      <c r="H72" s="43">
        <f t="shared" si="43"/>
        <v>2</v>
      </c>
      <c r="I72" s="43">
        <f t="shared" si="43"/>
        <v>3</v>
      </c>
      <c r="J72" s="43">
        <f t="shared" si="43"/>
        <v>3</v>
      </c>
      <c r="K72" s="43">
        <f t="shared" si="43"/>
        <v>3</v>
      </c>
      <c r="L72" s="43">
        <f t="shared" si="43"/>
        <v>3</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30" customFormat="1" x14ac:dyDescent="0.2">
      <c r="A73" s="42" t="str">
        <f t="shared" si="29"/>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30"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7</v>
      </c>
      <c r="J74" s="43">
        <f t="shared" si="45"/>
        <v>8</v>
      </c>
      <c r="K74" s="43">
        <f t="shared" si="45"/>
        <v>8</v>
      </c>
      <c r="L74" s="43">
        <f t="shared" si="45"/>
        <v>9</v>
      </c>
      <c r="M74" s="43">
        <f t="shared" si="45"/>
        <v>11</v>
      </c>
      <c r="N74" s="43">
        <f t="shared" si="45"/>
        <v>11</v>
      </c>
      <c r="O74" s="43">
        <f t="shared" si="45"/>
        <v>11</v>
      </c>
      <c r="P74" s="43">
        <f t="shared" si="45"/>
        <v>11</v>
      </c>
      <c r="Q74" s="43">
        <f t="shared" si="45"/>
        <v>11</v>
      </c>
      <c r="R74" s="43">
        <f t="shared" si="45"/>
        <v>12</v>
      </c>
      <c r="S74" s="43">
        <f t="shared" si="45"/>
        <v>12</v>
      </c>
      <c r="T74" s="43">
        <f t="shared" si="45"/>
        <v>12</v>
      </c>
      <c r="U74" s="43">
        <f t="shared" si="45"/>
        <v>12</v>
      </c>
      <c r="V74" s="43">
        <f t="shared" si="45"/>
        <v>12</v>
      </c>
      <c r="W74" s="43">
        <f t="shared" si="45"/>
        <v>12</v>
      </c>
      <c r="X74" s="43">
        <f t="shared" si="45"/>
        <v>12</v>
      </c>
      <c r="Y74" s="43">
        <f t="shared" si="45"/>
        <v>11</v>
      </c>
      <c r="Z74" s="43">
        <f t="shared" si="45"/>
        <v>11</v>
      </c>
      <c r="AA74" s="43">
        <f t="shared" si="45"/>
        <v>11</v>
      </c>
      <c r="AB74" s="350">
        <f t="shared" si="45"/>
        <v>10</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X79" s="14"/>
      <c r="Y79" s="14"/>
      <c r="Z79" s="14"/>
      <c r="AA79" s="14"/>
      <c r="AB79" s="14"/>
      <c r="AC79" s="21"/>
      <c r="AF79" s="21"/>
      <c r="AG79" s="21"/>
      <c r="AH79" s="21"/>
      <c r="AI79" s="21"/>
      <c r="AJ79" s="21"/>
      <c r="AK79" s="21"/>
      <c r="AL79" s="21"/>
      <c r="AM79" s="21"/>
      <c r="AN79" s="21"/>
      <c r="AO79" s="21"/>
      <c r="AP79" s="21"/>
    </row>
    <row r="80" spans="1:47" x14ac:dyDescent="0.2">
      <c r="A80" s="14"/>
      <c r="B80" s="30"/>
      <c r="C80" s="30"/>
      <c r="D80" s="30"/>
      <c r="E80" s="30"/>
      <c r="AC80" s="21"/>
      <c r="AF80" s="21"/>
      <c r="AG80" s="21"/>
      <c r="AH80" s="21"/>
      <c r="AI80" s="21"/>
      <c r="AJ80" s="21"/>
      <c r="AK80" s="21"/>
      <c r="AL80" s="21"/>
      <c r="AM80" s="21"/>
      <c r="AN80" s="21"/>
      <c r="AO80" s="21"/>
      <c r="AP80" s="21"/>
    </row>
    <row r="81" spans="1:34" x14ac:dyDescent="0.2">
      <c r="B81" s="30"/>
      <c r="C81" s="30"/>
      <c r="D81" s="30"/>
      <c r="E81" s="30"/>
    </row>
    <row r="82" spans="1:34" ht="12.75" thickBot="1" x14ac:dyDescent="0.25">
      <c r="B82" s="102"/>
      <c r="C82" s="4"/>
      <c r="AG82" s="97"/>
      <c r="AH82" s="97"/>
    </row>
    <row r="83" spans="1:34"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4" x14ac:dyDescent="0.2">
      <c r="A84" s="121" t="s">
        <v>148</v>
      </c>
      <c r="B84" s="122">
        <f t="shared" ref="B84:AB84" si="46">MIN(100,B86+$B$90)</f>
        <v>45.901136923127005</v>
      </c>
      <c r="C84" s="122">
        <f t="shared" si="46"/>
        <v>45.901136923127005</v>
      </c>
      <c r="D84" s="122">
        <f t="shared" si="46"/>
        <v>45.901136923127005</v>
      </c>
      <c r="E84" s="122">
        <f t="shared" si="46"/>
        <v>45.901136923127005</v>
      </c>
      <c r="F84" s="122">
        <f t="shared" si="46"/>
        <v>45.901136923127005</v>
      </c>
      <c r="G84" s="122">
        <f t="shared" si="46"/>
        <v>53.901136923127005</v>
      </c>
      <c r="H84" s="122">
        <f t="shared" si="46"/>
        <v>55.901136923127005</v>
      </c>
      <c r="I84" s="122">
        <f t="shared" si="46"/>
        <v>55.901136923127005</v>
      </c>
      <c r="J84" s="122">
        <f t="shared" si="46"/>
        <v>65.901136923127012</v>
      </c>
      <c r="K84" s="122">
        <f t="shared" si="46"/>
        <v>90.901136923127012</v>
      </c>
      <c r="L84" s="122">
        <f t="shared" si="46"/>
        <v>100</v>
      </c>
      <c r="M84" s="122">
        <f t="shared" si="46"/>
        <v>100</v>
      </c>
      <c r="N84" s="122">
        <f t="shared" si="46"/>
        <v>100</v>
      </c>
      <c r="O84" s="122">
        <f t="shared" si="46"/>
        <v>100</v>
      </c>
      <c r="P84" s="122">
        <f t="shared" si="46"/>
        <v>100</v>
      </c>
      <c r="Q84" s="122">
        <f t="shared" si="46"/>
        <v>100</v>
      </c>
      <c r="R84" s="122">
        <f t="shared" si="46"/>
        <v>100</v>
      </c>
      <c r="S84" s="122">
        <f t="shared" si="46"/>
        <v>100</v>
      </c>
      <c r="T84" s="122">
        <f t="shared" si="46"/>
        <v>100</v>
      </c>
      <c r="U84" s="122">
        <f t="shared" si="46"/>
        <v>100</v>
      </c>
      <c r="V84" s="122">
        <f t="shared" si="46"/>
        <v>100</v>
      </c>
      <c r="W84" s="122">
        <f t="shared" si="46"/>
        <v>100</v>
      </c>
      <c r="X84" s="122">
        <f t="shared" si="46"/>
        <v>100</v>
      </c>
      <c r="Y84" s="122">
        <f t="shared" si="46"/>
        <v>100</v>
      </c>
      <c r="Z84" s="122">
        <f t="shared" si="46"/>
        <v>100</v>
      </c>
      <c r="AA84" s="122">
        <f t="shared" si="46"/>
        <v>100</v>
      </c>
      <c r="AB84" s="123">
        <f t="shared" si="46"/>
        <v>100</v>
      </c>
      <c r="AC84" s="124">
        <f>MIN(100,AC86+$B$90)</f>
        <v>45.901136923127005</v>
      </c>
      <c r="AG84" s="97"/>
      <c r="AH84" s="97"/>
    </row>
    <row r="85" spans="1:34"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2"/>
      <c r="AE85" s="12"/>
      <c r="AF85" s="23"/>
      <c r="AG85" s="97"/>
      <c r="AH85" s="97"/>
    </row>
    <row r="86" spans="1:34"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2"/>
      <c r="AE86" s="12"/>
      <c r="AF86" s="23"/>
      <c r="AG86" s="97"/>
      <c r="AH86" s="97"/>
    </row>
    <row r="87" spans="1:34"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2"/>
      <c r="AE87" s="12"/>
      <c r="AF87" s="23"/>
      <c r="AG87" s="97"/>
      <c r="AH87" s="97"/>
    </row>
    <row r="88" spans="1:34"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2"/>
      <c r="AE88" s="12"/>
      <c r="AF88" s="23"/>
      <c r="AG88" s="97"/>
      <c r="AH88" s="97"/>
    </row>
    <row r="89" spans="1:34"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row>
    <row r="90" spans="1:34" x14ac:dyDescent="0.2">
      <c r="A90" s="105" t="s">
        <v>154</v>
      </c>
      <c r="B90" s="106">
        <f t="array" ref="B90">SQRT(SUM(POWER(AVERAGE(B86:AB86)-(B86:AB86),2))/COUNT(B86:AB86))*1</f>
        <v>35.901136923127005</v>
      </c>
      <c r="AC90" s="22"/>
      <c r="AD90" s="22"/>
      <c r="AE90" s="12"/>
      <c r="AF90" s="23"/>
      <c r="AG90" s="97"/>
      <c r="AH90" s="97"/>
    </row>
    <row r="91" spans="1:34" ht="12.75" thickBot="1" x14ac:dyDescent="0.25">
      <c r="A91" s="107" t="s">
        <v>155</v>
      </c>
      <c r="B91" s="108">
        <f>B90/2</f>
        <v>17.950568461563503</v>
      </c>
      <c r="AG91" s="97"/>
      <c r="AH91" s="97"/>
    </row>
    <row r="92" spans="1:34"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G92" s="97"/>
      <c r="AH92" s="97"/>
    </row>
    <row r="93" spans="1:34" s="97" customFormat="1" ht="13.5" thickBot="1" x14ac:dyDescent="0.25">
      <c r="A93" s="431" t="s">
        <v>156</v>
      </c>
      <c r="B93" s="432"/>
    </row>
    <row r="94" spans="1:34" s="97" customFormat="1" ht="12.75" thickBot="1" x14ac:dyDescent="0.25">
      <c r="A94" s="439" t="s">
        <v>157</v>
      </c>
      <c r="B94" s="440"/>
      <c r="I94" s="15"/>
    </row>
    <row r="95" spans="1:34" ht="12.75" thickTop="1" x14ac:dyDescent="0.2">
      <c r="A95" s="75" t="s">
        <v>139</v>
      </c>
      <c r="B95" s="77">
        <v>15</v>
      </c>
      <c r="D95" s="30"/>
      <c r="E95" s="30"/>
      <c r="F95" s="30"/>
      <c r="AG95" s="97"/>
      <c r="AH95" s="97"/>
    </row>
    <row r="96" spans="1:34" x14ac:dyDescent="0.2">
      <c r="A96" s="50" t="s">
        <v>140</v>
      </c>
      <c r="B96" s="51">
        <v>15</v>
      </c>
      <c r="AG96" s="97"/>
      <c r="AH96" s="97"/>
    </row>
    <row r="97" spans="1:34" x14ac:dyDescent="0.2">
      <c r="A97" s="75" t="s">
        <v>141</v>
      </c>
      <c r="B97" s="77">
        <v>15</v>
      </c>
      <c r="AG97" s="97"/>
      <c r="AH97" s="97"/>
    </row>
    <row r="98" spans="1:34" x14ac:dyDescent="0.2">
      <c r="A98" s="50" t="s">
        <v>142</v>
      </c>
      <c r="B98" s="51">
        <v>15</v>
      </c>
      <c r="AG98" s="97"/>
      <c r="AH98" s="97"/>
    </row>
    <row r="99" spans="1:34" x14ac:dyDescent="0.2">
      <c r="A99" s="50" t="s">
        <v>158</v>
      </c>
      <c r="B99" s="51">
        <v>5</v>
      </c>
      <c r="E99" s="73"/>
      <c r="F99" s="21"/>
      <c r="AG99" s="97"/>
      <c r="AH99" s="97"/>
    </row>
    <row r="100" spans="1:34" x14ac:dyDescent="0.2">
      <c r="A100" s="50" t="s">
        <v>159</v>
      </c>
      <c r="B100" s="51">
        <v>7</v>
      </c>
      <c r="E100" s="74"/>
      <c r="AG100" s="97"/>
      <c r="AH100" s="97"/>
    </row>
    <row r="101" spans="1:34" x14ac:dyDescent="0.2">
      <c r="A101" s="50" t="s">
        <v>160</v>
      </c>
      <c r="B101" s="51">
        <v>12</v>
      </c>
      <c r="E101" s="74"/>
      <c r="AG101" s="97"/>
      <c r="AH101" s="97"/>
    </row>
    <row r="102" spans="1:34" x14ac:dyDescent="0.2">
      <c r="A102" s="50" t="s">
        <v>161</v>
      </c>
      <c r="B102" s="51">
        <v>15</v>
      </c>
      <c r="E102" s="73"/>
      <c r="F102" s="21"/>
      <c r="AG102" s="97"/>
      <c r="AH102" s="97"/>
    </row>
    <row r="103" spans="1:34" x14ac:dyDescent="0.2">
      <c r="A103" s="50" t="s">
        <v>162</v>
      </c>
      <c r="B103" s="51">
        <v>5</v>
      </c>
      <c r="E103" s="74"/>
      <c r="K103" s="21"/>
      <c r="AG103" s="97"/>
      <c r="AH103" s="97"/>
    </row>
    <row r="104" spans="1:34" x14ac:dyDescent="0.2">
      <c r="A104" s="50" t="s">
        <v>163</v>
      </c>
      <c r="B104" s="51">
        <v>7</v>
      </c>
      <c r="E104" s="74"/>
      <c r="AG104" s="97"/>
      <c r="AH104" s="97"/>
    </row>
    <row r="105" spans="1:34" x14ac:dyDescent="0.2">
      <c r="A105" s="50" t="s">
        <v>164</v>
      </c>
      <c r="B105" s="51">
        <v>12</v>
      </c>
      <c r="E105" s="74"/>
      <c r="I105" s="97"/>
      <c r="K105" s="21"/>
      <c r="AG105" s="97"/>
      <c r="AH105" s="97"/>
    </row>
    <row r="106" spans="1:34" s="97" customFormat="1" x14ac:dyDescent="0.2">
      <c r="A106" s="50" t="s">
        <v>165</v>
      </c>
      <c r="B106" s="51">
        <v>15</v>
      </c>
      <c r="E106" s="73"/>
      <c r="F106" s="21"/>
      <c r="I106" s="15"/>
      <c r="K106" s="15"/>
      <c r="AB106" s="109"/>
      <c r="AC106" s="4"/>
    </row>
    <row r="107" spans="1:34" x14ac:dyDescent="0.2">
      <c r="A107" s="50" t="s">
        <v>166</v>
      </c>
      <c r="B107" s="51">
        <v>12</v>
      </c>
      <c r="E107" s="74"/>
      <c r="K107" s="21"/>
      <c r="AG107" s="97"/>
      <c r="AH107" s="97"/>
    </row>
    <row r="108" spans="1:34" x14ac:dyDescent="0.2">
      <c r="A108" s="50" t="s">
        <v>167</v>
      </c>
      <c r="B108" s="51">
        <v>12</v>
      </c>
      <c r="D108" s="97"/>
      <c r="E108" s="74"/>
      <c r="K108" s="21"/>
    </row>
    <row r="109" spans="1:34" x14ac:dyDescent="0.2">
      <c r="A109" s="50" t="s">
        <v>168</v>
      </c>
      <c r="B109" s="51">
        <v>12</v>
      </c>
      <c r="D109" s="97"/>
      <c r="E109" s="74"/>
      <c r="K109" s="21"/>
    </row>
    <row r="110" spans="1:34" x14ac:dyDescent="0.2">
      <c r="A110" s="50" t="s">
        <v>169</v>
      </c>
      <c r="B110" s="51">
        <v>3</v>
      </c>
      <c r="E110" s="73"/>
      <c r="F110" s="21"/>
      <c r="AG110" s="97"/>
      <c r="AH110" s="97"/>
    </row>
    <row r="111" spans="1:34" x14ac:dyDescent="0.2">
      <c r="A111" s="50" t="s">
        <v>170</v>
      </c>
      <c r="B111" s="51">
        <v>3</v>
      </c>
      <c r="E111" s="74"/>
      <c r="AG111" s="97"/>
      <c r="AH111" s="97"/>
    </row>
    <row r="112" spans="1:34" x14ac:dyDescent="0.2">
      <c r="A112" s="50" t="s">
        <v>171</v>
      </c>
      <c r="B112" s="51">
        <v>4</v>
      </c>
      <c r="E112" s="74"/>
      <c r="K112" s="97"/>
      <c r="AG112" s="97"/>
      <c r="AH112" s="97"/>
    </row>
    <row r="113" spans="1:36" x14ac:dyDescent="0.2">
      <c r="A113" s="50" t="s">
        <v>172</v>
      </c>
      <c r="B113" s="51">
        <v>4</v>
      </c>
      <c r="E113" s="74"/>
      <c r="K113" s="97"/>
      <c r="AG113" s="97"/>
      <c r="AH113" s="97"/>
    </row>
    <row r="114" spans="1:36" ht="12.75" thickBot="1" x14ac:dyDescent="0.25">
      <c r="A114" s="53" t="s">
        <v>173</v>
      </c>
      <c r="B114" s="278">
        <v>12</v>
      </c>
      <c r="E114" s="74"/>
      <c r="F114" s="97"/>
      <c r="AG114" s="97"/>
      <c r="AH114" s="97"/>
    </row>
    <row r="115" spans="1:36" ht="12.75" thickBot="1" x14ac:dyDescent="0.25"/>
    <row r="116" spans="1:36" ht="13.5" thickBot="1" x14ac:dyDescent="0.25">
      <c r="A116" s="431" t="s">
        <v>174</v>
      </c>
      <c r="B116" s="432"/>
      <c r="AI116" s="97"/>
      <c r="AJ116" s="97"/>
    </row>
    <row r="117" spans="1:36"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row>
    <row r="118" spans="1:36"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row>
    <row r="119" spans="1:36" ht="12.75" thickBot="1" x14ac:dyDescent="0.25"/>
    <row r="120" spans="1:36" ht="12.75" x14ac:dyDescent="0.2">
      <c r="A120" s="207" t="s">
        <v>178</v>
      </c>
      <c r="B120" s="426" t="s">
        <v>179</v>
      </c>
      <c r="C120" s="426"/>
      <c r="D120" s="427" t="s">
        <v>180</v>
      </c>
      <c r="E120" s="427"/>
      <c r="F120" s="428" t="s">
        <v>181</v>
      </c>
      <c r="G120" s="429"/>
      <c r="I120" s="295" t="s">
        <v>182</v>
      </c>
      <c r="J120" s="220"/>
    </row>
    <row r="121" spans="1:36" ht="12.75" x14ac:dyDescent="0.2">
      <c r="A121" s="208" t="s">
        <v>183</v>
      </c>
      <c r="B121" s="159"/>
      <c r="C121" s="159"/>
      <c r="D121" s="159"/>
      <c r="E121" s="159"/>
      <c r="F121" s="159"/>
      <c r="G121" s="171"/>
      <c r="I121" s="221" t="s">
        <v>40</v>
      </c>
      <c r="J121" s="220"/>
    </row>
    <row r="122" spans="1:36" x14ac:dyDescent="0.2">
      <c r="A122" s="157" t="s">
        <v>184</v>
      </c>
      <c r="B122" s="160">
        <v>10</v>
      </c>
      <c r="C122" s="160">
        <v>10</v>
      </c>
      <c r="D122" s="162">
        <v>9</v>
      </c>
      <c r="E122" s="162">
        <v>7</v>
      </c>
      <c r="F122" s="164">
        <v>6</v>
      </c>
      <c r="G122" s="209">
        <v>0</v>
      </c>
    </row>
    <row r="123" spans="1:36" x14ac:dyDescent="0.2">
      <c r="A123" s="157" t="s">
        <v>185</v>
      </c>
      <c r="B123" s="160">
        <v>10</v>
      </c>
      <c r="C123" s="160">
        <v>8</v>
      </c>
      <c r="D123" s="162">
        <v>7</v>
      </c>
      <c r="E123" s="162">
        <v>5</v>
      </c>
      <c r="F123" s="164">
        <v>4</v>
      </c>
      <c r="G123" s="209">
        <v>0</v>
      </c>
    </row>
    <row r="124" spans="1:36" x14ac:dyDescent="0.2">
      <c r="A124" s="208" t="s">
        <v>122</v>
      </c>
      <c r="B124" s="363"/>
      <c r="C124" s="364"/>
      <c r="D124" s="364"/>
      <c r="E124" s="364"/>
      <c r="F124" s="364"/>
      <c r="G124" s="171"/>
    </row>
    <row r="125" spans="1:36" ht="12.75" x14ac:dyDescent="0.2">
      <c r="A125" s="240" t="s">
        <v>123</v>
      </c>
      <c r="B125" s="213">
        <v>10</v>
      </c>
      <c r="C125" s="160">
        <f>ROUND(R39,0)</f>
        <v>6</v>
      </c>
      <c r="D125" s="162">
        <f t="shared" ref="D125:D134" si="50">C125-1</f>
        <v>5</v>
      </c>
      <c r="E125" s="162">
        <f>ROUND(H39,0)</f>
        <v>4</v>
      </c>
      <c r="F125" s="164">
        <v>3</v>
      </c>
      <c r="G125" s="165">
        <v>0</v>
      </c>
    </row>
    <row r="126" spans="1:36" ht="12.75" x14ac:dyDescent="0.2">
      <c r="A126" s="240" t="s">
        <v>124</v>
      </c>
      <c r="B126" s="160">
        <v>10</v>
      </c>
      <c r="C126" s="160">
        <f t="shared" ref="C126:C132" si="51">ROUND(R40,0)</f>
        <v>1</v>
      </c>
      <c r="D126" s="162">
        <v>1</v>
      </c>
      <c r="E126" s="162">
        <f>ROUND(H40,0)</f>
        <v>1</v>
      </c>
      <c r="F126" s="164">
        <v>0</v>
      </c>
      <c r="G126" s="209">
        <v>0</v>
      </c>
    </row>
    <row r="127" spans="1:36" ht="12.75" x14ac:dyDescent="0.2">
      <c r="A127" s="240" t="s">
        <v>125</v>
      </c>
      <c r="B127" s="160">
        <v>10</v>
      </c>
      <c r="C127" s="160">
        <f t="shared" si="51"/>
        <v>3</v>
      </c>
      <c r="D127" s="162">
        <f t="shared" si="50"/>
        <v>2</v>
      </c>
      <c r="E127" s="162"/>
      <c r="F127" s="164">
        <v>1</v>
      </c>
      <c r="G127" s="209">
        <v>0</v>
      </c>
    </row>
    <row r="128" spans="1:36" ht="12.75" x14ac:dyDescent="0.2">
      <c r="A128" s="240" t="s">
        <v>126</v>
      </c>
      <c r="B128" s="160">
        <v>10</v>
      </c>
      <c r="C128" s="160">
        <f t="shared" si="51"/>
        <v>5</v>
      </c>
      <c r="D128" s="162">
        <f t="shared" si="50"/>
        <v>4</v>
      </c>
      <c r="E128" s="162">
        <v>3</v>
      </c>
      <c r="F128" s="164">
        <v>2</v>
      </c>
      <c r="G128" s="209">
        <v>0</v>
      </c>
    </row>
    <row r="129" spans="1:7" ht="12.75" x14ac:dyDescent="0.2">
      <c r="A129" s="240" t="s">
        <v>127</v>
      </c>
      <c r="B129" s="160">
        <v>10</v>
      </c>
      <c r="C129" s="160">
        <f t="shared" si="51"/>
        <v>6</v>
      </c>
      <c r="D129" s="162">
        <f t="shared" si="50"/>
        <v>5</v>
      </c>
      <c r="E129" s="162">
        <f>ROUND(H43,0)</f>
        <v>4</v>
      </c>
      <c r="F129" s="164">
        <v>3</v>
      </c>
      <c r="G129" s="209">
        <v>0</v>
      </c>
    </row>
    <row r="130" spans="1:7" ht="12.75" x14ac:dyDescent="0.2">
      <c r="A130" s="240" t="s">
        <v>128</v>
      </c>
      <c r="B130" s="160">
        <v>10</v>
      </c>
      <c r="C130" s="160">
        <f t="shared" si="51"/>
        <v>6</v>
      </c>
      <c r="D130" s="162">
        <f t="shared" si="50"/>
        <v>5</v>
      </c>
      <c r="E130" s="162">
        <f>ROUND(H44,0)</f>
        <v>4</v>
      </c>
      <c r="F130" s="164">
        <v>3</v>
      </c>
      <c r="G130" s="209">
        <v>0</v>
      </c>
    </row>
    <row r="131" spans="1:7" ht="12.75" x14ac:dyDescent="0.2">
      <c r="A131" s="240" t="s">
        <v>129</v>
      </c>
      <c r="B131" s="160">
        <v>10</v>
      </c>
      <c r="C131" s="160">
        <f>ROUNDDOWN(R45,0)</f>
        <v>8</v>
      </c>
      <c r="D131" s="162">
        <f t="shared" si="50"/>
        <v>7</v>
      </c>
      <c r="E131" s="162">
        <f>ROUND(H45,0)</f>
        <v>2</v>
      </c>
      <c r="F131" s="164">
        <v>1</v>
      </c>
      <c r="G131" s="209">
        <v>0</v>
      </c>
    </row>
    <row r="132" spans="1:7" ht="12.75" x14ac:dyDescent="0.2">
      <c r="A132" s="240" t="s">
        <v>130</v>
      </c>
      <c r="B132" s="160">
        <v>10</v>
      </c>
      <c r="C132" s="160">
        <f t="shared" si="51"/>
        <v>6</v>
      </c>
      <c r="D132" s="162">
        <f t="shared" si="50"/>
        <v>5</v>
      </c>
      <c r="E132" s="162">
        <v>4</v>
      </c>
      <c r="F132" s="164">
        <v>3</v>
      </c>
      <c r="G132" s="209">
        <v>0</v>
      </c>
    </row>
    <row r="133" spans="1:7" ht="12.75" x14ac:dyDescent="0.2">
      <c r="A133" s="240" t="s">
        <v>131</v>
      </c>
      <c r="B133" s="160">
        <v>10</v>
      </c>
      <c r="C133" s="160">
        <f>ROUNDDOWN(R47,0)</f>
        <v>8</v>
      </c>
      <c r="D133" s="162">
        <f t="shared" si="50"/>
        <v>7</v>
      </c>
      <c r="E133" s="162">
        <f>ROUND(H47,0)</f>
        <v>2</v>
      </c>
      <c r="F133" s="164">
        <v>1</v>
      </c>
      <c r="G133" s="209">
        <v>0</v>
      </c>
    </row>
    <row r="134" spans="1:7" ht="12.75" x14ac:dyDescent="0.2">
      <c r="A134" s="240" t="s">
        <v>132</v>
      </c>
      <c r="B134" s="160">
        <v>10</v>
      </c>
      <c r="C134" s="160">
        <f>ROUNDDOWN(R48,0)</f>
        <v>8</v>
      </c>
      <c r="D134" s="162">
        <f t="shared" si="50"/>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6</v>
      </c>
      <c r="C138" s="167">
        <v>6</v>
      </c>
      <c r="D138" s="169">
        <v>5</v>
      </c>
      <c r="E138" s="169">
        <v>4</v>
      </c>
      <c r="F138" s="170">
        <v>3</v>
      </c>
      <c r="G138" s="214">
        <v>0</v>
      </c>
    </row>
    <row r="139" spans="1:7" ht="12.75" thickBot="1" x14ac:dyDescent="0.25">
      <c r="A139" s="158" t="s">
        <v>187</v>
      </c>
      <c r="B139" s="161">
        <v>6</v>
      </c>
      <c r="C139" s="161">
        <v>4</v>
      </c>
      <c r="D139" s="163">
        <v>3</v>
      </c>
      <c r="E139" s="163">
        <v>3</v>
      </c>
      <c r="F139" s="166">
        <v>2</v>
      </c>
      <c r="G139" s="215">
        <v>0</v>
      </c>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2">A40</f>
        <v>Ready HARM Support Mission System (D)</v>
      </c>
      <c r="B145" s="342">
        <f>HLOOKUP($B$142,'FA-18EF Mission System Summary'!$B$1:$F$12,4,FALSE)</f>
        <v>0.15186615186615185</v>
      </c>
    </row>
    <row r="146" spans="1:2" x14ac:dyDescent="0.2">
      <c r="A146" s="341" t="str">
        <f t="shared" si="52"/>
        <v>Ready Missile Launch Mission System (E)</v>
      </c>
      <c r="B146" s="342">
        <f>HLOOKUP($B$142,'FA-18EF Mission System Summary'!$B$1:$F$12,5,FALSE)</f>
        <v>0.39761189761189752</v>
      </c>
    </row>
    <row r="147" spans="1:2" x14ac:dyDescent="0.2">
      <c r="A147" s="341" t="str">
        <f t="shared" si="52"/>
        <v>Ready Survivablity Mission System (F)</v>
      </c>
      <c r="B147" s="342">
        <f>HLOOKUP($B$142,'FA-18EF Mission System Summary'!$B$1:$F$12,6,FALSE)</f>
        <v>0.68590018590018564</v>
      </c>
    </row>
    <row r="148" spans="1:2" x14ac:dyDescent="0.2">
      <c r="A148" s="341" t="str">
        <f t="shared" si="52"/>
        <v>Ready Leathality Mission System (G)</v>
      </c>
      <c r="B148" s="342">
        <f>HLOOKUP($B$142,'FA-18EF Mission System Summary'!$B$1:$F$12,7,FALSE)</f>
        <v>0.6974831974831972</v>
      </c>
    </row>
    <row r="149" spans="1:2" x14ac:dyDescent="0.2">
      <c r="A149" s="341" t="str">
        <f t="shared" si="52"/>
        <v>Ready Combat Communications Mission System (H)</v>
      </c>
      <c r="B149" s="342">
        <f>HLOOKUP($B$142,'FA-18EF Mission System Summary'!$B$1:$F$12,8,FALSE)</f>
        <v>0.6974831974831972</v>
      </c>
    </row>
    <row r="150" spans="1:2" x14ac:dyDescent="0.2">
      <c r="A150" s="341" t="str">
        <f t="shared" si="52"/>
        <v>Ready Air to Air Refueling Mission Systems (I)</v>
      </c>
      <c r="B150" s="342">
        <f>HLOOKUP($B$142,'FA-18EF Mission System Summary'!$B$1:$F$12,9,FALSE)</f>
        <v>0.34949234949234942</v>
      </c>
    </row>
    <row r="151" spans="1:2" x14ac:dyDescent="0.2">
      <c r="A151" s="341" t="str">
        <f t="shared" si="52"/>
        <v>Ready Tactical Navigation Mission Systems (J)</v>
      </c>
      <c r="B151" s="342">
        <f>HLOOKUP($B$142,'FA-18EF Mission System Summary'!$B$1:$F$12,10,FALSE)</f>
        <v>0.74445874445874416</v>
      </c>
    </row>
    <row r="152" spans="1:2" x14ac:dyDescent="0.2">
      <c r="A152" s="341" t="str">
        <f t="shared" si="52"/>
        <v>Ready Shipboard Mission Systems (K)</v>
      </c>
      <c r="B152" s="342">
        <f>HLOOKUP($B$142,'FA-18EF Mission System Summary'!$B$1:$F$12,11,FALSE)</f>
        <v>0.32600457600457594</v>
      </c>
    </row>
    <row r="153" spans="1:2" x14ac:dyDescent="0.2">
      <c r="A153" s="341" t="str">
        <f t="shared" si="52"/>
        <v>Ready IMC Flight Mission Systems (L)</v>
      </c>
      <c r="B153" s="342">
        <f>HLOOKUP($B$142,'FA-18EF Mission System Summary'!$B$1:$F$12,12,FALSE)</f>
        <v>1</v>
      </c>
    </row>
  </sheetData>
  <mergeCells count="15">
    <mergeCell ref="B120:C120"/>
    <mergeCell ref="D120:E120"/>
    <mergeCell ref="F120:G120"/>
    <mergeCell ref="A1:G1"/>
    <mergeCell ref="A116:B116"/>
    <mergeCell ref="A83:AC83"/>
    <mergeCell ref="B16:E16"/>
    <mergeCell ref="F16:J16"/>
    <mergeCell ref="K16:M16"/>
    <mergeCell ref="N16:Q16"/>
    <mergeCell ref="R16:W16"/>
    <mergeCell ref="X16:AB16"/>
    <mergeCell ref="A93:B93"/>
    <mergeCell ref="A94:B94"/>
    <mergeCell ref="M1:P1"/>
  </mergeCells>
  <conditionalFormatting sqref="C135">
    <cfRule type="cellIs" dxfId="330" priority="94" operator="equal">
      <formula>B135</formula>
    </cfRule>
  </conditionalFormatting>
  <conditionalFormatting sqref="D135:E135">
    <cfRule type="cellIs" dxfId="329" priority="97" operator="equal">
      <formula>C135</formula>
    </cfRule>
  </conditionalFormatting>
  <conditionalFormatting sqref="F135">
    <cfRule type="cellIs" dxfId="328" priority="95" operator="equal">
      <formula>E135</formula>
    </cfRule>
    <cfRule type="cellIs" dxfId="327" priority="96" operator="equal">
      <formula>G135</formula>
    </cfRule>
  </conditionalFormatting>
  <conditionalFormatting sqref="F122">
    <cfRule type="cellIs" dxfId="326" priority="92" operator="equal">
      <formula>E122</formula>
    </cfRule>
  </conditionalFormatting>
  <conditionalFormatting sqref="E122">
    <cfRule type="cellIs" dxfId="325" priority="91" operator="equal">
      <formula>D122</formula>
    </cfRule>
  </conditionalFormatting>
  <conditionalFormatting sqref="F122">
    <cfRule type="cellIs" dxfId="324" priority="88" operator="equal">
      <formula>E122</formula>
    </cfRule>
  </conditionalFormatting>
  <conditionalFormatting sqref="C122">
    <cfRule type="cellIs" dxfId="323" priority="89" operator="equal">
      <formula>B122</formula>
    </cfRule>
  </conditionalFormatting>
  <conditionalFormatting sqref="E122">
    <cfRule type="cellIs" dxfId="322" priority="87" operator="equal">
      <formula>D122</formula>
    </cfRule>
  </conditionalFormatting>
  <conditionalFormatting sqref="F122">
    <cfRule type="cellIs" dxfId="321" priority="86" operator="equal">
      <formula>E122</formula>
    </cfRule>
  </conditionalFormatting>
  <conditionalFormatting sqref="C122">
    <cfRule type="cellIs" dxfId="320" priority="85" operator="equal">
      <formula>B122</formula>
    </cfRule>
  </conditionalFormatting>
  <conditionalFormatting sqref="D122">
    <cfRule type="cellIs" dxfId="319" priority="84" operator="equal">
      <formula>C122</formula>
    </cfRule>
  </conditionalFormatting>
  <conditionalFormatting sqref="E122">
    <cfRule type="cellIs" dxfId="318" priority="83" operator="equal">
      <formula>D122</formula>
    </cfRule>
  </conditionalFormatting>
  <conditionalFormatting sqref="C122">
    <cfRule type="cellIs" dxfId="317" priority="81" operator="equal">
      <formula>B122</formula>
    </cfRule>
  </conditionalFormatting>
  <conditionalFormatting sqref="D122:E122">
    <cfRule type="cellIs" dxfId="316" priority="93" operator="equal">
      <formula>C122</formula>
    </cfRule>
  </conditionalFormatting>
  <conditionalFormatting sqref="D122">
    <cfRule type="cellIs" dxfId="315" priority="98" operator="equal">
      <formula>C122</formula>
    </cfRule>
  </conditionalFormatting>
  <conditionalFormatting sqref="C136:C139">
    <cfRule type="cellIs" dxfId="314" priority="71" operator="equal">
      <formula>B136</formula>
    </cfRule>
  </conditionalFormatting>
  <conditionalFormatting sqref="D136:E139">
    <cfRule type="cellIs" dxfId="313" priority="72" operator="equal">
      <formula>C136</formula>
    </cfRule>
  </conditionalFormatting>
  <conditionalFormatting sqref="F136:F139">
    <cfRule type="cellIs" dxfId="312" priority="73" operator="equal">
      <formula>G136</formula>
    </cfRule>
    <cfRule type="cellIs" dxfId="311" priority="74" operator="equal">
      <formula>E136</formula>
    </cfRule>
  </conditionalFormatting>
  <conditionalFormatting sqref="C124">
    <cfRule type="cellIs" dxfId="310" priority="15" operator="equal">
      <formula>B124</formula>
    </cfRule>
  </conditionalFormatting>
  <conditionalFormatting sqref="D124:E124">
    <cfRule type="cellIs" dxfId="309" priority="18" operator="equal">
      <formula>C124</formula>
    </cfRule>
  </conditionalFormatting>
  <conditionalFormatting sqref="F124">
    <cfRule type="cellIs" dxfId="308" priority="16" operator="equal">
      <formula>E124</formula>
    </cfRule>
    <cfRule type="cellIs" dxfId="307" priority="17" operator="equal">
      <formula>G124</formula>
    </cfRule>
  </conditionalFormatting>
  <conditionalFormatting sqref="E123">
    <cfRule type="cellIs" dxfId="306" priority="13" operator="equal">
      <formula>D123</formula>
    </cfRule>
  </conditionalFormatting>
  <conditionalFormatting sqref="E123">
    <cfRule type="cellIs" dxfId="305" priority="11" operator="equal">
      <formula>D123</formula>
    </cfRule>
  </conditionalFormatting>
  <conditionalFormatting sqref="E123">
    <cfRule type="cellIs" dxfId="304" priority="10" operator="equal">
      <formula>D123</formula>
    </cfRule>
  </conditionalFormatting>
  <conditionalFormatting sqref="C123">
    <cfRule type="cellIs" dxfId="303" priority="8" operator="equal">
      <formula>B123</formula>
    </cfRule>
  </conditionalFormatting>
  <conditionalFormatting sqref="D123:E123">
    <cfRule type="cellIs" dxfId="302" priority="14" operator="equal">
      <formula>C123</formula>
    </cfRule>
  </conditionalFormatting>
  <conditionalFormatting sqref="F123">
    <cfRule type="cellIs" dxfId="301" priority="9" operator="equal">
      <formula>E123</formula>
    </cfRule>
    <cfRule type="cellIs" dxfId="300" priority="12" operator="equal">
      <formula>G123</formula>
    </cfRule>
  </conditionalFormatting>
  <conditionalFormatting sqref="D126:D134">
    <cfRule type="cellIs" dxfId="299" priority="5" operator="equal">
      <formula>C126</formula>
    </cfRule>
  </conditionalFormatting>
  <conditionalFormatting sqref="F126:F134">
    <cfRule type="cellIs" dxfId="298" priority="4" operator="equal">
      <formula>G126</formula>
    </cfRule>
    <cfRule type="cellIs" dxfId="297" priority="6" operator="equal">
      <formula>E126</formula>
    </cfRule>
  </conditionalFormatting>
  <conditionalFormatting sqref="C125:C134">
    <cfRule type="cellIs" dxfId="296" priority="3" operator="equal">
      <formula>B125</formula>
    </cfRule>
  </conditionalFormatting>
  <conditionalFormatting sqref="D125:E125 E126:E134">
    <cfRule type="cellIs" dxfId="295" priority="1" operator="equal">
      <formula>C125</formula>
    </cfRule>
  </conditionalFormatting>
  <conditionalFormatting sqref="F125">
    <cfRule type="cellIs" dxfId="294" priority="2" operator="equal">
      <formula>G125</formula>
    </cfRule>
    <cfRule type="cellIs" dxfId="293" priority="7" operator="equal">
      <formula>E125</formula>
    </cfRule>
  </conditionalFormatting>
  <hyperlinks>
    <hyperlink ref="H1" location="Inventory!A1" display="Inventory" xr:uid="{00000000-0004-0000-0200-000000000000}"/>
    <hyperlink ref="I121" location="Inventory!A1" display="Inventory" xr:uid="{00000000-0004-0000-0200-000001000000}"/>
    <hyperlink ref="I120" location="'VFA (10F) (6 ARS)'!A1" display="Top" xr:uid="{00000000-0004-0000-0200-000002000000}"/>
    <hyperlink ref="H2" location="'VFA (10F) (6 ARS)'!A140" display="AMFOM" xr:uid="{00000000-0004-0000-0200-000003000000}"/>
  </hyperlinks>
  <printOptions horizontalCentered="1" verticalCentered="1"/>
  <pageMargins left="0.7" right="0.7" top="0.75" bottom="0.75" header="0.3" footer="0.3"/>
  <pageSetup paperSize="17" scale="39" orientation="landscape" horizontalDpi="300" verticalDpi="300" r:id="rId1"/>
  <headerFooter alignWithMargins="0">
    <oddHeader>&amp;C&amp;20VFA E/F 10 Plane Standard</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U153"/>
  <sheetViews>
    <sheetView showGridLines="0" zoomScaleNormal="100" zoomScaleSheetLayoutView="100" workbookViewId="0">
      <selection sqref="A1:G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30" t="s">
        <v>191</v>
      </c>
      <c r="B1" s="430"/>
      <c r="C1" s="430"/>
      <c r="D1" s="430"/>
      <c r="E1" s="430"/>
      <c r="F1" s="430"/>
      <c r="G1" s="430"/>
      <c r="H1" s="145" t="s">
        <v>40</v>
      </c>
      <c r="K1" s="95"/>
      <c r="L1" s="146" t="s">
        <v>41</v>
      </c>
      <c r="M1" s="441">
        <v>44835</v>
      </c>
      <c r="N1" s="442"/>
      <c r="O1" s="443"/>
      <c r="P1" s="443"/>
      <c r="AC1" s="324" t="s">
        <v>42</v>
      </c>
      <c r="AD1" s="325">
        <v>10.02</v>
      </c>
    </row>
    <row r="2" spans="1:34" s="4" customFormat="1" ht="12.75" x14ac:dyDescent="0.2">
      <c r="A2" s="2" t="s">
        <v>43</v>
      </c>
      <c r="B2" s="70">
        <v>10</v>
      </c>
      <c r="C2" s="59"/>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71">
        <f>B4/B2</f>
        <v>1.5</v>
      </c>
      <c r="C3" s="59"/>
      <c r="D3" s="3"/>
      <c r="I3" s="3"/>
      <c r="J3" s="3"/>
      <c r="K3" s="3"/>
      <c r="N3" s="5"/>
      <c r="O3" s="5"/>
      <c r="P3" s="5"/>
      <c r="Q3" s="5"/>
      <c r="R3" s="3"/>
      <c r="S3" s="3"/>
      <c r="T3" s="3"/>
      <c r="U3" s="3"/>
      <c r="V3" s="3"/>
      <c r="W3" s="3"/>
      <c r="X3" s="3"/>
      <c r="Y3" s="3"/>
      <c r="Z3" s="3"/>
      <c r="AA3" s="3"/>
      <c r="AB3" s="3"/>
      <c r="AC3" s="100"/>
    </row>
    <row r="4" spans="1:34" s="4" customFormat="1" ht="11.25" x14ac:dyDescent="0.2">
      <c r="A4" s="2" t="s">
        <v>45</v>
      </c>
      <c r="B4" s="70">
        <v>15</v>
      </c>
      <c r="C4" s="59"/>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72">
        <v>1.5</v>
      </c>
      <c r="C5" s="61"/>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72">
        <v>27.5</v>
      </c>
      <c r="C6" s="61"/>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72">
        <f>B6*B4</f>
        <v>412.5</v>
      </c>
      <c r="C7" s="60"/>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70">
        <f>B7/B5</f>
        <v>275</v>
      </c>
      <c r="C8" s="59"/>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72">
        <f>B4*C9</f>
        <v>15</v>
      </c>
      <c r="C9" s="59">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72">
        <f>B4*C10</f>
        <v>93</v>
      </c>
      <c r="C10" s="59">
        <v>6.2</v>
      </c>
      <c r="D10" s="4" t="s">
        <v>51</v>
      </c>
      <c r="E10" s="3"/>
      <c r="F10" s="3"/>
      <c r="G10" s="94" t="s">
        <v>54</v>
      </c>
      <c r="H10" s="93">
        <v>0.26500000000000001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30</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11" t="s">
        <v>65</v>
      </c>
      <c r="C14" s="11" t="s">
        <v>66</v>
      </c>
      <c r="D14" s="11" t="s">
        <v>67</v>
      </c>
      <c r="E14" s="11" t="s">
        <v>68</v>
      </c>
      <c r="F14" s="11" t="s">
        <v>69</v>
      </c>
      <c r="G14" s="11" t="s">
        <v>70</v>
      </c>
      <c r="H14" s="11" t="s">
        <v>71</v>
      </c>
      <c r="I14" s="11" t="s">
        <v>72</v>
      </c>
      <c r="J14" s="11" t="s">
        <v>73</v>
      </c>
      <c r="K14" s="11" t="s">
        <v>74</v>
      </c>
      <c r="L14" s="11" t="s">
        <v>75</v>
      </c>
      <c r="M14" s="11" t="s">
        <v>76</v>
      </c>
      <c r="N14" s="11" t="s">
        <v>77</v>
      </c>
      <c r="O14" s="11" t="s">
        <v>78</v>
      </c>
      <c r="P14" s="11" t="s">
        <v>79</v>
      </c>
      <c r="Q14" s="11" t="s">
        <v>80</v>
      </c>
      <c r="R14" s="11" t="s">
        <v>81</v>
      </c>
      <c r="S14" s="11" t="s">
        <v>82</v>
      </c>
      <c r="T14" s="11" t="s">
        <v>83</v>
      </c>
      <c r="U14" s="11" t="s">
        <v>84</v>
      </c>
      <c r="V14" s="11" t="s">
        <v>85</v>
      </c>
      <c r="W14" s="11" t="s">
        <v>86</v>
      </c>
      <c r="X14" s="11" t="s">
        <v>87</v>
      </c>
      <c r="Y14" s="11" t="s">
        <v>88</v>
      </c>
      <c r="Z14" s="11" t="s">
        <v>89</v>
      </c>
      <c r="AA14" s="11" t="s">
        <v>90</v>
      </c>
      <c r="AB14" s="419" t="s">
        <v>91</v>
      </c>
      <c r="AC14" s="11" t="s">
        <v>92</v>
      </c>
      <c r="AD14" s="12"/>
      <c r="AE14" s="12"/>
      <c r="AF14" s="12"/>
      <c r="AG14" s="12"/>
      <c r="AH14" s="12"/>
    </row>
    <row r="15" spans="1:34" s="13" customFormat="1" x14ac:dyDescent="0.2">
      <c r="A15" s="8" t="s">
        <v>93</v>
      </c>
      <c r="B15" s="11">
        <v>1</v>
      </c>
      <c r="C15" s="11">
        <v>2</v>
      </c>
      <c r="D15" s="11">
        <v>3</v>
      </c>
      <c r="E15" s="11">
        <v>4</v>
      </c>
      <c r="F15" s="11">
        <v>5</v>
      </c>
      <c r="G15" s="11">
        <v>6</v>
      </c>
      <c r="H15" s="11">
        <v>7</v>
      </c>
      <c r="I15" s="11">
        <v>8</v>
      </c>
      <c r="J15" s="11">
        <v>9</v>
      </c>
      <c r="K15" s="11">
        <v>10</v>
      </c>
      <c r="L15" s="11">
        <v>11</v>
      </c>
      <c r="M15" s="11">
        <v>12</v>
      </c>
      <c r="N15" s="11">
        <v>13</v>
      </c>
      <c r="O15" s="11">
        <v>14</v>
      </c>
      <c r="P15" s="11">
        <v>15</v>
      </c>
      <c r="Q15" s="11">
        <v>16</v>
      </c>
      <c r="R15" s="11">
        <v>17</v>
      </c>
      <c r="S15" s="11">
        <v>18</v>
      </c>
      <c r="T15" s="11">
        <v>19</v>
      </c>
      <c r="U15" s="11">
        <v>20</v>
      </c>
      <c r="V15" s="11">
        <v>21</v>
      </c>
      <c r="W15" s="11">
        <v>22</v>
      </c>
      <c r="X15" s="11">
        <v>23</v>
      </c>
      <c r="Y15" s="11">
        <v>24</v>
      </c>
      <c r="Z15" s="11">
        <v>25</v>
      </c>
      <c r="AA15" s="11">
        <v>26</v>
      </c>
      <c r="AB15" s="419">
        <v>27</v>
      </c>
      <c r="AC15" s="11">
        <v>28</v>
      </c>
      <c r="AD15" s="12"/>
      <c r="AE15" s="12"/>
      <c r="AF15" s="12"/>
      <c r="AG15" s="12"/>
      <c r="AH15" s="12"/>
    </row>
    <row r="16" spans="1:34" x14ac:dyDescent="0.2">
      <c r="A16" s="8" t="s">
        <v>94</v>
      </c>
      <c r="B16" s="444" t="s">
        <v>95</v>
      </c>
      <c r="C16" s="445"/>
      <c r="D16" s="445"/>
      <c r="E16" s="446"/>
      <c r="F16" s="444" t="s">
        <v>96</v>
      </c>
      <c r="G16" s="445"/>
      <c r="H16" s="445"/>
      <c r="I16" s="445"/>
      <c r="J16" s="446"/>
      <c r="K16" s="444" t="s">
        <v>97</v>
      </c>
      <c r="L16" s="445"/>
      <c r="M16" s="446"/>
      <c r="N16" s="444" t="s">
        <v>61</v>
      </c>
      <c r="O16" s="445"/>
      <c r="P16" s="445"/>
      <c r="Q16" s="446"/>
      <c r="R16" s="444" t="s">
        <v>98</v>
      </c>
      <c r="S16" s="445"/>
      <c r="T16" s="445"/>
      <c r="U16" s="445"/>
      <c r="V16" s="445"/>
      <c r="W16" s="446"/>
      <c r="X16" s="444" t="s">
        <v>99</v>
      </c>
      <c r="Y16" s="445"/>
      <c r="Z16" s="445"/>
      <c r="AA16" s="445"/>
      <c r="AB16" s="445"/>
      <c r="AC16" s="11" t="s">
        <v>100</v>
      </c>
      <c r="AD16" s="14"/>
      <c r="AE16" s="14"/>
      <c r="AF16" s="14"/>
      <c r="AG16" s="14"/>
      <c r="AH16" s="14"/>
    </row>
    <row r="17" spans="1:34" ht="12.75" x14ac:dyDescent="0.2">
      <c r="A17" s="96" t="s">
        <v>101</v>
      </c>
      <c r="B17" s="16"/>
      <c r="C17" s="17"/>
      <c r="D17" s="17"/>
      <c r="E17" s="17"/>
      <c r="F17" s="17"/>
      <c r="G17" s="17"/>
      <c r="H17" s="17"/>
      <c r="I17" s="17"/>
      <c r="J17" s="17"/>
      <c r="K17" s="17"/>
      <c r="L17" s="17"/>
      <c r="M17" s="17"/>
      <c r="N17" s="17"/>
      <c r="O17" s="17"/>
      <c r="P17" s="17"/>
      <c r="Q17" s="17"/>
      <c r="R17" s="17"/>
      <c r="S17" s="17"/>
      <c r="T17" s="18"/>
      <c r="U17" s="17"/>
      <c r="V17" s="17"/>
      <c r="W17" s="17"/>
      <c r="X17" s="17"/>
      <c r="Y17" s="17"/>
      <c r="Z17" s="17"/>
      <c r="AA17" s="17"/>
      <c r="AB17" s="17"/>
      <c r="AC17" s="19"/>
      <c r="AD17" s="14"/>
      <c r="AE17" s="14"/>
      <c r="AF17" s="14"/>
      <c r="AG17" s="14"/>
      <c r="AH17" s="14"/>
    </row>
    <row r="18" spans="1:34" s="97" customFormat="1" x14ac:dyDescent="0.2">
      <c r="A18" s="133"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19"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s="27" customFormat="1" x14ac:dyDescent="0.2">
      <c r="A20" s="177" t="s">
        <v>104</v>
      </c>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5"/>
      <c r="AD20" s="26"/>
      <c r="AE20" s="26"/>
      <c r="AF20" s="26"/>
      <c r="AG20" s="26"/>
      <c r="AH20" s="26"/>
    </row>
    <row r="21" spans="1:34" s="27" customFormat="1" x14ac:dyDescent="0.2">
      <c r="A21" s="24" t="s">
        <v>105</v>
      </c>
      <c r="B21" s="179">
        <f t="shared" ref="B21:AB21" si="1">B19*$B$8</f>
        <v>137.5</v>
      </c>
      <c r="C21" s="179">
        <f t="shared" si="1"/>
        <v>137.5</v>
      </c>
      <c r="D21" s="179">
        <f t="shared" si="1"/>
        <v>137.5</v>
      </c>
      <c r="E21" s="179">
        <f t="shared" si="1"/>
        <v>137.5</v>
      </c>
      <c r="F21" s="179">
        <f t="shared" si="1"/>
        <v>137.5</v>
      </c>
      <c r="G21" s="179">
        <f t="shared" si="1"/>
        <v>137.5</v>
      </c>
      <c r="H21" s="179">
        <f t="shared" si="1"/>
        <v>151.25</v>
      </c>
      <c r="I21" s="179">
        <f t="shared" si="1"/>
        <v>165</v>
      </c>
      <c r="J21" s="179">
        <f t="shared" si="1"/>
        <v>178.75</v>
      </c>
      <c r="K21" s="179">
        <f t="shared" si="1"/>
        <v>192.5</v>
      </c>
      <c r="L21" s="179">
        <f t="shared" si="1"/>
        <v>192.5</v>
      </c>
      <c r="M21" s="179">
        <f t="shared" si="1"/>
        <v>192.5</v>
      </c>
      <c r="N21" s="179">
        <f t="shared" si="1"/>
        <v>192.5</v>
      </c>
      <c r="O21" s="179">
        <f t="shared" si="1"/>
        <v>192.5</v>
      </c>
      <c r="P21" s="179">
        <f t="shared" si="1"/>
        <v>192.5</v>
      </c>
      <c r="Q21" s="179">
        <f t="shared" si="1"/>
        <v>110</v>
      </c>
      <c r="R21" s="179">
        <f t="shared" si="1"/>
        <v>220</v>
      </c>
      <c r="S21" s="179">
        <f t="shared" si="1"/>
        <v>220</v>
      </c>
      <c r="T21" s="179">
        <f t="shared" si="1"/>
        <v>220</v>
      </c>
      <c r="U21" s="179">
        <f t="shared" si="1"/>
        <v>220</v>
      </c>
      <c r="V21" s="179">
        <f t="shared" si="1"/>
        <v>220</v>
      </c>
      <c r="W21" s="179">
        <f t="shared" si="1"/>
        <v>192.5</v>
      </c>
      <c r="X21" s="179">
        <f t="shared" si="1"/>
        <v>110</v>
      </c>
      <c r="Y21" s="179">
        <f t="shared" si="1"/>
        <v>165</v>
      </c>
      <c r="Z21" s="179">
        <f t="shared" si="1"/>
        <v>165</v>
      </c>
      <c r="AA21" s="179">
        <f t="shared" si="1"/>
        <v>165</v>
      </c>
      <c r="AB21" s="188">
        <f t="shared" si="1"/>
        <v>165</v>
      </c>
      <c r="AC21" s="25">
        <f>AC19*$B$8</f>
        <v>110</v>
      </c>
      <c r="AD21" s="26"/>
      <c r="AE21" s="26"/>
      <c r="AF21" s="26"/>
      <c r="AG21" s="26"/>
      <c r="AH21" s="26"/>
    </row>
    <row r="22" spans="1:34" s="30" customFormat="1" x14ac:dyDescent="0.2">
      <c r="A22" s="24" t="s">
        <v>106</v>
      </c>
      <c r="B22" s="28">
        <f t="shared" ref="B22:AB22" si="2">B21*$B$5</f>
        <v>206.25</v>
      </c>
      <c r="C22" s="28">
        <f t="shared" si="2"/>
        <v>206.25</v>
      </c>
      <c r="D22" s="28">
        <f t="shared" si="2"/>
        <v>206.25</v>
      </c>
      <c r="E22" s="28">
        <f t="shared" si="2"/>
        <v>206.25</v>
      </c>
      <c r="F22" s="28">
        <f t="shared" si="2"/>
        <v>206.25</v>
      </c>
      <c r="G22" s="28">
        <f t="shared" si="2"/>
        <v>206.25</v>
      </c>
      <c r="H22" s="28">
        <f t="shared" si="2"/>
        <v>226.875</v>
      </c>
      <c r="I22" s="28">
        <f t="shared" si="2"/>
        <v>247.5</v>
      </c>
      <c r="J22" s="28">
        <f t="shared" si="2"/>
        <v>268.125</v>
      </c>
      <c r="K22" s="28">
        <f t="shared" si="2"/>
        <v>288.75</v>
      </c>
      <c r="L22" s="28">
        <f t="shared" si="2"/>
        <v>288.75</v>
      </c>
      <c r="M22" s="28">
        <f t="shared" si="2"/>
        <v>288.75</v>
      </c>
      <c r="N22" s="28">
        <f t="shared" si="2"/>
        <v>288.75</v>
      </c>
      <c r="O22" s="28">
        <f t="shared" si="2"/>
        <v>288.75</v>
      </c>
      <c r="P22" s="28">
        <f t="shared" si="2"/>
        <v>288.75</v>
      </c>
      <c r="Q22" s="28">
        <f t="shared" si="2"/>
        <v>165</v>
      </c>
      <c r="R22" s="28">
        <f t="shared" si="2"/>
        <v>330</v>
      </c>
      <c r="S22" s="28">
        <f t="shared" si="2"/>
        <v>330</v>
      </c>
      <c r="T22" s="28">
        <f t="shared" si="2"/>
        <v>330</v>
      </c>
      <c r="U22" s="28">
        <f t="shared" si="2"/>
        <v>330</v>
      </c>
      <c r="V22" s="28">
        <f t="shared" si="2"/>
        <v>330</v>
      </c>
      <c r="W22" s="28">
        <f t="shared" si="2"/>
        <v>288.75</v>
      </c>
      <c r="X22" s="28">
        <f t="shared" si="2"/>
        <v>165</v>
      </c>
      <c r="Y22" s="28">
        <f t="shared" si="2"/>
        <v>247.5</v>
      </c>
      <c r="Z22" s="28">
        <f t="shared" si="2"/>
        <v>247.5</v>
      </c>
      <c r="AA22" s="28">
        <f t="shared" si="2"/>
        <v>247.5</v>
      </c>
      <c r="AB22" s="175">
        <f t="shared" si="2"/>
        <v>247.5</v>
      </c>
      <c r="AC22" s="28">
        <f>AC21*$B$5</f>
        <v>165</v>
      </c>
      <c r="AD22" s="29"/>
      <c r="AE22" s="29"/>
      <c r="AF22" s="29"/>
      <c r="AG22" s="29"/>
      <c r="AH22" s="29"/>
    </row>
    <row r="23" spans="1:34" s="30" customFormat="1" x14ac:dyDescent="0.2">
      <c r="A23" s="24" t="s">
        <v>107</v>
      </c>
      <c r="B23" s="101">
        <f>$B$9</f>
        <v>15</v>
      </c>
      <c r="C23" s="101">
        <f t="shared" ref="C23:AB23" si="3">$B$9</f>
        <v>15</v>
      </c>
      <c r="D23" s="101">
        <f t="shared" si="3"/>
        <v>15</v>
      </c>
      <c r="E23" s="101">
        <f t="shared" si="3"/>
        <v>15</v>
      </c>
      <c r="F23" s="101">
        <f t="shared" si="3"/>
        <v>15</v>
      </c>
      <c r="G23" s="101">
        <f t="shared" si="3"/>
        <v>15</v>
      </c>
      <c r="H23" s="101">
        <f t="shared" si="3"/>
        <v>15</v>
      </c>
      <c r="I23" s="101">
        <f t="shared" si="3"/>
        <v>15</v>
      </c>
      <c r="J23" s="101">
        <f t="shared" si="3"/>
        <v>15</v>
      </c>
      <c r="K23" s="101">
        <f t="shared" si="3"/>
        <v>15</v>
      </c>
      <c r="L23" s="101">
        <f t="shared" si="3"/>
        <v>15</v>
      </c>
      <c r="M23" s="101">
        <f t="shared" si="3"/>
        <v>15</v>
      </c>
      <c r="N23" s="101">
        <f t="shared" si="3"/>
        <v>15</v>
      </c>
      <c r="O23" s="101">
        <f t="shared" si="3"/>
        <v>15</v>
      </c>
      <c r="P23" s="101">
        <f t="shared" si="3"/>
        <v>15</v>
      </c>
      <c r="Q23" s="101">
        <f t="shared" si="3"/>
        <v>15</v>
      </c>
      <c r="R23" s="101">
        <f t="shared" si="3"/>
        <v>15</v>
      </c>
      <c r="S23" s="101">
        <f t="shared" si="3"/>
        <v>15</v>
      </c>
      <c r="T23" s="101">
        <f t="shared" si="3"/>
        <v>15</v>
      </c>
      <c r="U23" s="101">
        <f t="shared" si="3"/>
        <v>15</v>
      </c>
      <c r="V23" s="101">
        <f t="shared" si="3"/>
        <v>15</v>
      </c>
      <c r="W23" s="101">
        <f t="shared" si="3"/>
        <v>15</v>
      </c>
      <c r="X23" s="101">
        <f t="shared" si="3"/>
        <v>15</v>
      </c>
      <c r="Y23" s="101">
        <f t="shared" si="3"/>
        <v>15</v>
      </c>
      <c r="Z23" s="101">
        <f t="shared" si="3"/>
        <v>15</v>
      </c>
      <c r="AA23" s="101">
        <f t="shared" si="3"/>
        <v>15</v>
      </c>
      <c r="AB23" s="189">
        <f t="shared" si="3"/>
        <v>15</v>
      </c>
      <c r="AC23" s="101">
        <f>$B$9</f>
        <v>15</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93</v>
      </c>
      <c r="K24" s="101">
        <f t="shared" si="4"/>
        <v>0</v>
      </c>
      <c r="L24" s="101">
        <f t="shared" si="4"/>
        <v>93</v>
      </c>
      <c r="M24" s="101">
        <f t="shared" si="4"/>
        <v>93</v>
      </c>
      <c r="N24" s="101">
        <f t="shared" si="4"/>
        <v>0</v>
      </c>
      <c r="O24" s="101">
        <f t="shared" si="4"/>
        <v>0</v>
      </c>
      <c r="P24" s="101">
        <f t="shared" si="4"/>
        <v>93</v>
      </c>
      <c r="Q24" s="101">
        <f t="shared" si="4"/>
        <v>0</v>
      </c>
      <c r="R24" s="101">
        <f t="shared" si="4"/>
        <v>93</v>
      </c>
      <c r="S24" s="101">
        <f t="shared" si="4"/>
        <v>93</v>
      </c>
      <c r="T24" s="101">
        <f t="shared" si="4"/>
        <v>93</v>
      </c>
      <c r="U24" s="101">
        <f t="shared" si="4"/>
        <v>93</v>
      </c>
      <c r="V24" s="101">
        <f t="shared" si="4"/>
        <v>93</v>
      </c>
      <c r="W24" s="101">
        <f t="shared" si="4"/>
        <v>93</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221.25</v>
      </c>
      <c r="C25" s="28">
        <f t="shared" si="5"/>
        <v>221.25</v>
      </c>
      <c r="D25" s="28">
        <f t="shared" si="5"/>
        <v>221.25</v>
      </c>
      <c r="E25" s="28">
        <f t="shared" si="5"/>
        <v>221.25</v>
      </c>
      <c r="F25" s="28">
        <f t="shared" si="5"/>
        <v>221.25</v>
      </c>
      <c r="G25" s="28">
        <f t="shared" si="5"/>
        <v>221.25</v>
      </c>
      <c r="H25" s="28">
        <f t="shared" si="5"/>
        <v>241.875</v>
      </c>
      <c r="I25" s="28">
        <f t="shared" si="5"/>
        <v>262.5</v>
      </c>
      <c r="J25" s="28">
        <f t="shared" si="5"/>
        <v>376.125</v>
      </c>
      <c r="K25" s="28">
        <f t="shared" si="5"/>
        <v>303.75</v>
      </c>
      <c r="L25" s="28">
        <f t="shared" si="5"/>
        <v>396.75</v>
      </c>
      <c r="M25" s="28">
        <f t="shared" si="5"/>
        <v>396.75</v>
      </c>
      <c r="N25" s="28">
        <f t="shared" si="5"/>
        <v>303.75</v>
      </c>
      <c r="O25" s="28">
        <f t="shared" si="5"/>
        <v>303.75</v>
      </c>
      <c r="P25" s="28">
        <f t="shared" si="5"/>
        <v>396.75</v>
      </c>
      <c r="Q25" s="28">
        <f t="shared" si="5"/>
        <v>180</v>
      </c>
      <c r="R25" s="28">
        <f t="shared" si="5"/>
        <v>438</v>
      </c>
      <c r="S25" s="28">
        <f t="shared" si="5"/>
        <v>438</v>
      </c>
      <c r="T25" s="28">
        <f t="shared" si="5"/>
        <v>438</v>
      </c>
      <c r="U25" s="28">
        <f t="shared" si="5"/>
        <v>438</v>
      </c>
      <c r="V25" s="28">
        <f t="shared" si="5"/>
        <v>438</v>
      </c>
      <c r="W25" s="28">
        <f t="shared" si="5"/>
        <v>396.75</v>
      </c>
      <c r="X25" s="28">
        <f t="shared" si="5"/>
        <v>180</v>
      </c>
      <c r="Y25" s="28">
        <f t="shared" si="5"/>
        <v>262.5</v>
      </c>
      <c r="Z25" s="28">
        <f t="shared" si="5"/>
        <v>262.5</v>
      </c>
      <c r="AA25" s="28">
        <f t="shared" si="5"/>
        <v>262.5</v>
      </c>
      <c r="AB25" s="175">
        <f t="shared" si="5"/>
        <v>262.5</v>
      </c>
      <c r="AC25" s="28">
        <f t="shared" si="5"/>
        <v>180</v>
      </c>
      <c r="AD25" s="29"/>
      <c r="AE25" s="29"/>
      <c r="AF25" s="29"/>
      <c r="AG25" s="29"/>
      <c r="AH25" s="29"/>
    </row>
    <row r="26" spans="1:34" s="30" customFormat="1" x14ac:dyDescent="0.2">
      <c r="A26" s="31" t="s">
        <v>110</v>
      </c>
      <c r="B26" s="32">
        <f t="shared" ref="B26:AB26" si="6">-IF(ISBLANK(B117),0,MIN(B$22*$H$10,B$22-$B$7*$H$9))</f>
        <v>-41.25</v>
      </c>
      <c r="C26" s="32">
        <f t="shared" si="6"/>
        <v>-41.25</v>
      </c>
      <c r="D26" s="32">
        <f t="shared" si="6"/>
        <v>-41.25</v>
      </c>
      <c r="E26" s="32">
        <f t="shared" si="6"/>
        <v>0</v>
      </c>
      <c r="F26" s="32">
        <f t="shared" si="6"/>
        <v>-41.25</v>
      </c>
      <c r="G26" s="32">
        <f t="shared" si="6"/>
        <v>-41.25</v>
      </c>
      <c r="H26" s="32">
        <f t="shared" si="6"/>
        <v>-60.121875000000003</v>
      </c>
      <c r="I26" s="32">
        <f t="shared" si="6"/>
        <v>-65.587500000000006</v>
      </c>
      <c r="J26" s="32">
        <f t="shared" si="6"/>
        <v>0</v>
      </c>
      <c r="K26" s="32">
        <f t="shared" si="6"/>
        <v>0</v>
      </c>
      <c r="L26" s="32">
        <f t="shared" si="6"/>
        <v>0</v>
      </c>
      <c r="M26" s="32">
        <f t="shared" si="6"/>
        <v>0</v>
      </c>
      <c r="N26" s="32">
        <f t="shared" si="6"/>
        <v>-76.518749999999997</v>
      </c>
      <c r="O26" s="32">
        <f t="shared" si="6"/>
        <v>-76.518749999999997</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-65.587500000000006</v>
      </c>
      <c r="Z26" s="32">
        <f t="shared" si="6"/>
        <v>-65.587500000000006</v>
      </c>
      <c r="AA26" s="32">
        <f t="shared" si="6"/>
        <v>-65.587500000000006</v>
      </c>
      <c r="AB26" s="172">
        <f t="shared" si="6"/>
        <v>-65.587500000000006</v>
      </c>
      <c r="AC26" s="28">
        <f>-IF(ISBLANK(AC105),0,MIN(AC$22*$H$10,AC$22-$B$7*$H$9))</f>
        <v>0</v>
      </c>
      <c r="AD26" s="29"/>
      <c r="AE26" s="29"/>
      <c r="AF26" s="29"/>
      <c r="AG26" s="29"/>
      <c r="AH26" s="29"/>
    </row>
    <row r="27" spans="1:34" s="30" customFormat="1" x14ac:dyDescent="0.2">
      <c r="A27" s="24" t="s">
        <v>111</v>
      </c>
      <c r="B27" s="32">
        <f t="shared" ref="B27:AB27" si="7">SUM(B25:B26)</f>
        <v>180</v>
      </c>
      <c r="C27" s="32">
        <f t="shared" si="7"/>
        <v>180</v>
      </c>
      <c r="D27" s="32">
        <f t="shared" si="7"/>
        <v>180</v>
      </c>
      <c r="E27" s="32">
        <f t="shared" si="7"/>
        <v>221.25</v>
      </c>
      <c r="F27" s="32">
        <f t="shared" si="7"/>
        <v>180</v>
      </c>
      <c r="G27" s="32">
        <f t="shared" si="7"/>
        <v>180</v>
      </c>
      <c r="H27" s="32">
        <f t="shared" si="7"/>
        <v>181.75312500000001</v>
      </c>
      <c r="I27" s="32">
        <f t="shared" si="7"/>
        <v>196.91249999999999</v>
      </c>
      <c r="J27" s="32">
        <f t="shared" si="7"/>
        <v>376.125</v>
      </c>
      <c r="K27" s="32">
        <f t="shared" si="7"/>
        <v>303.75</v>
      </c>
      <c r="L27" s="32">
        <f t="shared" si="7"/>
        <v>396.75</v>
      </c>
      <c r="M27" s="32">
        <f t="shared" si="7"/>
        <v>396.75</v>
      </c>
      <c r="N27" s="32">
        <f t="shared" si="7"/>
        <v>227.23124999999999</v>
      </c>
      <c r="O27" s="32">
        <f t="shared" si="7"/>
        <v>227.23124999999999</v>
      </c>
      <c r="P27" s="32">
        <f t="shared" si="7"/>
        <v>396.75</v>
      </c>
      <c r="Q27" s="32">
        <f t="shared" si="7"/>
        <v>180</v>
      </c>
      <c r="R27" s="32">
        <f t="shared" si="7"/>
        <v>438</v>
      </c>
      <c r="S27" s="32">
        <f t="shared" si="7"/>
        <v>438</v>
      </c>
      <c r="T27" s="32">
        <f t="shared" si="7"/>
        <v>438</v>
      </c>
      <c r="U27" s="32">
        <f t="shared" si="7"/>
        <v>438</v>
      </c>
      <c r="V27" s="32">
        <f t="shared" si="7"/>
        <v>438</v>
      </c>
      <c r="W27" s="32">
        <f t="shared" si="7"/>
        <v>396.75</v>
      </c>
      <c r="X27" s="32">
        <f t="shared" si="7"/>
        <v>180</v>
      </c>
      <c r="Y27" s="32">
        <f t="shared" si="7"/>
        <v>196.91249999999999</v>
      </c>
      <c r="Z27" s="32">
        <f t="shared" si="7"/>
        <v>196.91249999999999</v>
      </c>
      <c r="AA27" s="32">
        <f t="shared" si="7"/>
        <v>196.91249999999999</v>
      </c>
      <c r="AB27" s="172">
        <f t="shared" si="7"/>
        <v>196.91249999999999</v>
      </c>
      <c r="AC27" s="28">
        <f>SUM(AC25:AC26)</f>
        <v>180</v>
      </c>
      <c r="AD27" s="29"/>
      <c r="AE27" s="29"/>
      <c r="AF27" s="29"/>
      <c r="AG27" s="29"/>
      <c r="AH27" s="29"/>
    </row>
    <row r="28" spans="1:34" s="30" customFormat="1" x14ac:dyDescent="0.2">
      <c r="A28" s="31" t="s">
        <v>112</v>
      </c>
      <c r="B28" s="32">
        <f>AVERAGE(AA22:AB22,B22)</f>
        <v>233.75</v>
      </c>
      <c r="C28" s="32">
        <f>AVERAGE(AB22,B22:C22)</f>
        <v>220</v>
      </c>
      <c r="D28" s="32">
        <f t="shared" ref="D28:AB28" si="8">AVERAGE(B22:D22)</f>
        <v>206.25</v>
      </c>
      <c r="E28" s="32">
        <f t="shared" si="8"/>
        <v>206.25</v>
      </c>
      <c r="F28" s="32">
        <f t="shared" si="8"/>
        <v>206.25</v>
      </c>
      <c r="G28" s="32">
        <f t="shared" si="8"/>
        <v>206.25</v>
      </c>
      <c r="H28" s="32">
        <f t="shared" si="8"/>
        <v>213.125</v>
      </c>
      <c r="I28" s="32">
        <f t="shared" si="8"/>
        <v>226.875</v>
      </c>
      <c r="J28" s="32">
        <f t="shared" si="8"/>
        <v>247.5</v>
      </c>
      <c r="K28" s="32">
        <f t="shared" si="8"/>
        <v>268.125</v>
      </c>
      <c r="L28" s="32">
        <f t="shared" si="8"/>
        <v>281.875</v>
      </c>
      <c r="M28" s="32">
        <f t="shared" si="8"/>
        <v>288.75</v>
      </c>
      <c r="N28" s="32">
        <f t="shared" si="8"/>
        <v>288.75</v>
      </c>
      <c r="O28" s="32">
        <f t="shared" si="8"/>
        <v>288.75</v>
      </c>
      <c r="P28" s="32">
        <f t="shared" si="8"/>
        <v>288.75</v>
      </c>
      <c r="Q28" s="32">
        <f t="shared" si="8"/>
        <v>247.5</v>
      </c>
      <c r="R28" s="32">
        <f t="shared" si="8"/>
        <v>261.25</v>
      </c>
      <c r="S28" s="32">
        <f t="shared" si="8"/>
        <v>275</v>
      </c>
      <c r="T28" s="32">
        <f t="shared" si="8"/>
        <v>330</v>
      </c>
      <c r="U28" s="32">
        <f t="shared" si="8"/>
        <v>330</v>
      </c>
      <c r="V28" s="32">
        <f t="shared" si="8"/>
        <v>330</v>
      </c>
      <c r="W28" s="32">
        <f t="shared" si="8"/>
        <v>316.25</v>
      </c>
      <c r="X28" s="32">
        <f t="shared" si="8"/>
        <v>261.25</v>
      </c>
      <c r="Y28" s="32">
        <f t="shared" si="8"/>
        <v>233.75</v>
      </c>
      <c r="Z28" s="32">
        <f t="shared" si="8"/>
        <v>220</v>
      </c>
      <c r="AA28" s="32">
        <f t="shared" si="8"/>
        <v>247.5</v>
      </c>
      <c r="AB28" s="172">
        <f t="shared" si="8"/>
        <v>247.5</v>
      </c>
      <c r="AC28" s="28">
        <f>SUM(AC25:AC26)</f>
        <v>180</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30</v>
      </c>
      <c r="C30" s="32">
        <f t="shared" si="9"/>
        <v>30</v>
      </c>
      <c r="D30" s="32">
        <f t="shared" si="9"/>
        <v>30</v>
      </c>
      <c r="E30" s="32">
        <f t="shared" si="9"/>
        <v>0</v>
      </c>
      <c r="F30" s="32">
        <f t="shared" si="9"/>
        <v>30</v>
      </c>
      <c r="G30" s="32">
        <f t="shared" si="9"/>
        <v>30</v>
      </c>
      <c r="H30" s="32">
        <f t="shared" si="9"/>
        <v>30</v>
      </c>
      <c r="I30" s="32">
        <f t="shared" si="9"/>
        <v>30</v>
      </c>
      <c r="J30" s="32">
        <f t="shared" si="9"/>
        <v>0</v>
      </c>
      <c r="K30" s="32">
        <f t="shared" si="9"/>
        <v>0</v>
      </c>
      <c r="L30" s="32">
        <f t="shared" si="9"/>
        <v>0</v>
      </c>
      <c r="M30" s="32">
        <f t="shared" si="9"/>
        <v>0</v>
      </c>
      <c r="N30" s="32">
        <f t="shared" si="9"/>
        <v>30</v>
      </c>
      <c r="O30" s="32">
        <f t="shared" si="9"/>
        <v>30</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30</v>
      </c>
      <c r="Z30" s="32">
        <f t="shared" si="9"/>
        <v>30</v>
      </c>
      <c r="AA30" s="32">
        <f t="shared" si="9"/>
        <v>30</v>
      </c>
      <c r="AB30" s="172">
        <f t="shared" si="9"/>
        <v>30</v>
      </c>
      <c r="AC30" s="28">
        <f t="shared" si="9"/>
        <v>30</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v>
      </c>
      <c r="C34" s="36">
        <f t="shared" ref="C34:AC34" si="11">((C36*$B$143)/$B$2)</f>
        <v>0.455829162495829</v>
      </c>
      <c r="D34" s="36">
        <f t="shared" si="11"/>
        <v>0.455829162495829</v>
      </c>
      <c r="E34" s="36">
        <f t="shared" si="11"/>
        <v>0.455829162495829</v>
      </c>
      <c r="F34" s="36">
        <f t="shared" si="11"/>
        <v>0.455829162495829</v>
      </c>
      <c r="G34" s="36">
        <f t="shared" si="11"/>
        <v>0.455829162495829</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v>
      </c>
      <c r="AD34" s="26"/>
      <c r="AE34" s="26"/>
      <c r="AF34" s="26"/>
      <c r="AG34" s="26"/>
      <c r="AH34" s="26"/>
    </row>
    <row r="35" spans="1:34" s="30" customFormat="1" x14ac:dyDescent="0.2">
      <c r="A35" s="24" t="s">
        <v>119</v>
      </c>
      <c r="B35" s="132">
        <f t="shared" ref="B35:AC35" si="12">ROUND($B$2*B$32,2)</f>
        <v>7</v>
      </c>
      <c r="C35" s="132">
        <f t="shared" si="12"/>
        <v>7</v>
      </c>
      <c r="D35" s="132">
        <f t="shared" si="12"/>
        <v>7</v>
      </c>
      <c r="E35" s="132">
        <f t="shared" si="12"/>
        <v>7</v>
      </c>
      <c r="F35" s="132">
        <f t="shared" si="12"/>
        <v>7</v>
      </c>
      <c r="G35" s="132">
        <f t="shared" si="12"/>
        <v>7</v>
      </c>
      <c r="H35" s="132">
        <f t="shared" si="12"/>
        <v>8</v>
      </c>
      <c r="I35" s="132">
        <f t="shared" si="12"/>
        <v>8</v>
      </c>
      <c r="J35" s="132">
        <f t="shared" si="12"/>
        <v>8</v>
      </c>
      <c r="K35" s="132">
        <f t="shared" si="12"/>
        <v>9</v>
      </c>
      <c r="L35" s="132">
        <f t="shared" si="12"/>
        <v>9</v>
      </c>
      <c r="M35" s="132">
        <f t="shared" si="12"/>
        <v>9</v>
      </c>
      <c r="N35" s="132">
        <f t="shared" si="12"/>
        <v>10</v>
      </c>
      <c r="O35" s="132">
        <f t="shared" si="12"/>
        <v>10</v>
      </c>
      <c r="P35" s="132">
        <f t="shared" si="12"/>
        <v>10</v>
      </c>
      <c r="Q35" s="132">
        <f t="shared" si="12"/>
        <v>10</v>
      </c>
      <c r="R35" s="132">
        <f t="shared" si="12"/>
        <v>10</v>
      </c>
      <c r="S35" s="132">
        <f t="shared" si="12"/>
        <v>10</v>
      </c>
      <c r="T35" s="132">
        <f t="shared" si="12"/>
        <v>10</v>
      </c>
      <c r="U35" s="132">
        <f t="shared" si="12"/>
        <v>10</v>
      </c>
      <c r="V35" s="132">
        <f t="shared" si="12"/>
        <v>10</v>
      </c>
      <c r="W35" s="132">
        <f t="shared" si="12"/>
        <v>10</v>
      </c>
      <c r="X35" s="132">
        <f t="shared" si="12"/>
        <v>10</v>
      </c>
      <c r="Y35" s="132">
        <f t="shared" si="12"/>
        <v>10</v>
      </c>
      <c r="Z35" s="132">
        <f t="shared" si="12"/>
        <v>10</v>
      </c>
      <c r="AA35" s="132">
        <f t="shared" si="12"/>
        <v>10</v>
      </c>
      <c r="AB35" s="192">
        <f t="shared" si="12"/>
        <v>10</v>
      </c>
      <c r="AC35" s="132">
        <f t="shared" si="12"/>
        <v>7</v>
      </c>
      <c r="AD35" s="26"/>
      <c r="AE35" s="26"/>
      <c r="AF35" s="26"/>
      <c r="AG35" s="26"/>
      <c r="AH35" s="26"/>
    </row>
    <row r="36" spans="1:34" x14ac:dyDescent="0.2">
      <c r="A36" s="24" t="s">
        <v>120</v>
      </c>
      <c r="B36" s="132">
        <f t="shared" ref="B36:AC36" si="13">ROUND($B$2*B$33,2)</f>
        <v>5.6</v>
      </c>
      <c r="C36" s="132">
        <f t="shared" si="13"/>
        <v>5.6</v>
      </c>
      <c r="D36" s="132">
        <f t="shared" si="13"/>
        <v>5.6</v>
      </c>
      <c r="E36" s="132">
        <f t="shared" si="13"/>
        <v>5.6</v>
      </c>
      <c r="F36" s="132">
        <f t="shared" si="13"/>
        <v>5.6</v>
      </c>
      <c r="G36" s="132">
        <f t="shared" si="13"/>
        <v>5.6</v>
      </c>
      <c r="H36" s="132">
        <f t="shared" si="13"/>
        <v>6.4</v>
      </c>
      <c r="I36" s="132">
        <f t="shared" si="13"/>
        <v>6.4</v>
      </c>
      <c r="J36" s="132">
        <f t="shared" si="13"/>
        <v>6.4</v>
      </c>
      <c r="K36" s="132">
        <f t="shared" si="13"/>
        <v>7.2</v>
      </c>
      <c r="L36" s="132">
        <f t="shared" si="13"/>
        <v>7.2</v>
      </c>
      <c r="M36" s="132">
        <f t="shared" si="13"/>
        <v>7.2</v>
      </c>
      <c r="N36" s="132">
        <f t="shared" si="13"/>
        <v>8</v>
      </c>
      <c r="O36" s="132">
        <f t="shared" si="13"/>
        <v>8</v>
      </c>
      <c r="P36" s="132">
        <f t="shared" si="13"/>
        <v>8</v>
      </c>
      <c r="Q36" s="132">
        <f t="shared" si="13"/>
        <v>8</v>
      </c>
      <c r="R36" s="132">
        <f t="shared" si="13"/>
        <v>8</v>
      </c>
      <c r="S36" s="132">
        <f t="shared" si="13"/>
        <v>8</v>
      </c>
      <c r="T36" s="132">
        <f t="shared" si="13"/>
        <v>8</v>
      </c>
      <c r="U36" s="132">
        <f t="shared" si="13"/>
        <v>8</v>
      </c>
      <c r="V36" s="132">
        <f t="shared" si="13"/>
        <v>8</v>
      </c>
      <c r="W36" s="132">
        <f t="shared" si="13"/>
        <v>8</v>
      </c>
      <c r="X36" s="132">
        <f t="shared" si="13"/>
        <v>8</v>
      </c>
      <c r="Y36" s="132">
        <f t="shared" si="13"/>
        <v>8</v>
      </c>
      <c r="Z36" s="132">
        <f t="shared" si="13"/>
        <v>8</v>
      </c>
      <c r="AA36" s="132">
        <f t="shared" si="13"/>
        <v>8</v>
      </c>
      <c r="AB36" s="192">
        <f t="shared" si="13"/>
        <v>8</v>
      </c>
      <c r="AC36" s="132">
        <f t="shared" si="13"/>
        <v>5.6</v>
      </c>
      <c r="AD36" s="14"/>
      <c r="AE36" s="14"/>
      <c r="AF36" s="14"/>
      <c r="AG36" s="14"/>
      <c r="AH36" s="14"/>
    </row>
    <row r="37" spans="1:34" x14ac:dyDescent="0.2">
      <c r="A37" s="202" t="s">
        <v>121</v>
      </c>
      <c r="B37" s="360">
        <f>B34*$B$2</f>
        <v>4.5582916249582901</v>
      </c>
      <c r="C37" s="360">
        <f t="shared" ref="C37:AC37" si="14">C34*$B$2</f>
        <v>4.5582916249582901</v>
      </c>
      <c r="D37" s="360">
        <f t="shared" si="14"/>
        <v>4.5582916249582901</v>
      </c>
      <c r="E37" s="360">
        <f t="shared" si="14"/>
        <v>4.5582916249582901</v>
      </c>
      <c r="F37" s="360">
        <f t="shared" si="14"/>
        <v>4.5582916249582901</v>
      </c>
      <c r="G37" s="360">
        <f t="shared" si="14"/>
        <v>4.5582916249582901</v>
      </c>
      <c r="H37" s="360">
        <f t="shared" si="14"/>
        <v>5.2094761428094749</v>
      </c>
      <c r="I37" s="360">
        <f t="shared" si="14"/>
        <v>5.2094761428094749</v>
      </c>
      <c r="J37" s="360">
        <f t="shared" si="14"/>
        <v>5.2094761428094749</v>
      </c>
      <c r="K37" s="360">
        <f t="shared" si="14"/>
        <v>5.8606606606606597</v>
      </c>
      <c r="L37" s="360">
        <f t="shared" si="14"/>
        <v>5.8606606606606597</v>
      </c>
      <c r="M37" s="360">
        <f t="shared" si="14"/>
        <v>5.8606606606606597</v>
      </c>
      <c r="N37" s="360">
        <f t="shared" si="14"/>
        <v>6.5118451785118436</v>
      </c>
      <c r="O37" s="360">
        <f t="shared" si="14"/>
        <v>6.5118451785118436</v>
      </c>
      <c r="P37" s="360">
        <f t="shared" si="14"/>
        <v>6.5118451785118436</v>
      </c>
      <c r="Q37" s="360">
        <f t="shared" si="14"/>
        <v>6.5118451785118436</v>
      </c>
      <c r="R37" s="360">
        <f t="shared" si="14"/>
        <v>6.5118451785118436</v>
      </c>
      <c r="S37" s="360">
        <f t="shared" si="14"/>
        <v>6.5118451785118436</v>
      </c>
      <c r="T37" s="360">
        <f t="shared" si="14"/>
        <v>6.5118451785118436</v>
      </c>
      <c r="U37" s="360">
        <f t="shared" si="14"/>
        <v>6.5118451785118436</v>
      </c>
      <c r="V37" s="360">
        <f t="shared" si="14"/>
        <v>6.5118451785118436</v>
      </c>
      <c r="W37" s="360">
        <f t="shared" si="14"/>
        <v>6.5118451785118436</v>
      </c>
      <c r="X37" s="360">
        <f t="shared" si="14"/>
        <v>6.5118451785118436</v>
      </c>
      <c r="Y37" s="360">
        <f t="shared" si="14"/>
        <v>6.5118451785118436</v>
      </c>
      <c r="Z37" s="360">
        <f t="shared" si="14"/>
        <v>6.5118451785118436</v>
      </c>
      <c r="AA37" s="360">
        <f t="shared" si="14"/>
        <v>6.5118451785118436</v>
      </c>
      <c r="AB37" s="360">
        <f t="shared" si="14"/>
        <v>6.5118451785118436</v>
      </c>
      <c r="AC37" s="360">
        <f t="shared" si="14"/>
        <v>4.5582916249582901</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3.9059059059059043</v>
      </c>
      <c r="C39" s="323">
        <f t="shared" si="15"/>
        <v>3.9059059059059043</v>
      </c>
      <c r="D39" s="323">
        <f t="shared" si="15"/>
        <v>3.9059059059059043</v>
      </c>
      <c r="E39" s="323">
        <f t="shared" si="15"/>
        <v>3.9059059059059043</v>
      </c>
      <c r="F39" s="323">
        <f t="shared" si="15"/>
        <v>3.9059059059059043</v>
      </c>
      <c r="G39" s="323">
        <f t="shared" si="15"/>
        <v>3.9059059059059043</v>
      </c>
      <c r="H39" s="323">
        <f t="shared" si="15"/>
        <v>4.4638924638924626</v>
      </c>
      <c r="I39" s="323">
        <f t="shared" si="15"/>
        <v>4.4638924638924626</v>
      </c>
      <c r="J39" s="323">
        <f t="shared" si="15"/>
        <v>4.4638924638924626</v>
      </c>
      <c r="K39" s="323">
        <f t="shared" si="15"/>
        <v>5.0218790218790197</v>
      </c>
      <c r="L39" s="323">
        <f t="shared" si="15"/>
        <v>5.0218790218790197</v>
      </c>
      <c r="M39" s="323">
        <f t="shared" si="15"/>
        <v>5.0218790218790197</v>
      </c>
      <c r="N39" s="323">
        <f t="shared" si="15"/>
        <v>5.5798655798655776</v>
      </c>
      <c r="O39" s="323">
        <f t="shared" si="15"/>
        <v>5.5798655798655776</v>
      </c>
      <c r="P39" s="323">
        <f t="shared" si="15"/>
        <v>5.5798655798655776</v>
      </c>
      <c r="Q39" s="323">
        <f t="shared" si="15"/>
        <v>5.5798655798655776</v>
      </c>
      <c r="R39" s="323">
        <f t="shared" si="15"/>
        <v>5.5798655798655776</v>
      </c>
      <c r="S39" s="323">
        <f t="shared" si="15"/>
        <v>5.5798655798655776</v>
      </c>
      <c r="T39" s="323">
        <f t="shared" si="15"/>
        <v>5.5798655798655776</v>
      </c>
      <c r="U39" s="323">
        <f t="shared" si="15"/>
        <v>5.5798655798655776</v>
      </c>
      <c r="V39" s="323">
        <f t="shared" si="15"/>
        <v>5.5798655798655776</v>
      </c>
      <c r="W39" s="323">
        <f t="shared" si="15"/>
        <v>5.5798655798655776</v>
      </c>
      <c r="X39" s="323">
        <f t="shared" si="15"/>
        <v>5.5798655798655776</v>
      </c>
      <c r="Y39" s="323">
        <f t="shared" si="15"/>
        <v>5.5798655798655776</v>
      </c>
      <c r="Z39" s="323">
        <f t="shared" si="15"/>
        <v>5.5798655798655776</v>
      </c>
      <c r="AA39" s="323">
        <f t="shared" si="15"/>
        <v>5.5798655798655776</v>
      </c>
      <c r="AB39" s="323">
        <f t="shared" si="15"/>
        <v>5.5798655798655776</v>
      </c>
      <c r="AC39" s="323">
        <f t="shared" si="15"/>
        <v>3.9059059059059043</v>
      </c>
      <c r="AD39" s="224"/>
      <c r="AE39" s="224"/>
    </row>
    <row r="40" spans="1:34" s="225" customFormat="1" ht="12.75" x14ac:dyDescent="0.2">
      <c r="A40" s="240" t="s">
        <v>124</v>
      </c>
      <c r="B40" s="323">
        <f t="shared" ref="B40:AC40" si="16">IF($B145&gt;=0.9, B$36,B$36*$B145)</f>
        <v>0.85045045045045031</v>
      </c>
      <c r="C40" s="323">
        <f t="shared" si="16"/>
        <v>0.85045045045045031</v>
      </c>
      <c r="D40" s="323">
        <f t="shared" si="16"/>
        <v>0.85045045045045031</v>
      </c>
      <c r="E40" s="323">
        <f t="shared" si="16"/>
        <v>0.85045045045045031</v>
      </c>
      <c r="F40" s="323">
        <f t="shared" si="16"/>
        <v>0.85045045045045031</v>
      </c>
      <c r="G40" s="323">
        <f t="shared" si="16"/>
        <v>0.85045045045045031</v>
      </c>
      <c r="H40" s="323">
        <f t="shared" si="16"/>
        <v>0.97194337194337188</v>
      </c>
      <c r="I40" s="323">
        <f t="shared" si="16"/>
        <v>0.97194337194337188</v>
      </c>
      <c r="J40" s="323">
        <f t="shared" si="16"/>
        <v>0.97194337194337188</v>
      </c>
      <c r="K40" s="323">
        <f t="shared" si="16"/>
        <v>1.0934362934362933</v>
      </c>
      <c r="L40" s="323">
        <f t="shared" si="16"/>
        <v>1.0934362934362933</v>
      </c>
      <c r="M40" s="323">
        <f t="shared" si="16"/>
        <v>1.0934362934362933</v>
      </c>
      <c r="N40" s="323">
        <f t="shared" si="16"/>
        <v>1.2149292149292148</v>
      </c>
      <c r="O40" s="323">
        <f t="shared" si="16"/>
        <v>1.2149292149292148</v>
      </c>
      <c r="P40" s="323">
        <f t="shared" si="16"/>
        <v>1.2149292149292148</v>
      </c>
      <c r="Q40" s="323">
        <f t="shared" si="16"/>
        <v>1.2149292149292148</v>
      </c>
      <c r="R40" s="323">
        <f t="shared" si="16"/>
        <v>1.2149292149292148</v>
      </c>
      <c r="S40" s="323">
        <f t="shared" si="16"/>
        <v>1.2149292149292148</v>
      </c>
      <c r="T40" s="323">
        <f t="shared" si="16"/>
        <v>1.2149292149292148</v>
      </c>
      <c r="U40" s="323">
        <f t="shared" si="16"/>
        <v>1.2149292149292148</v>
      </c>
      <c r="V40" s="323">
        <f t="shared" si="16"/>
        <v>1.2149292149292148</v>
      </c>
      <c r="W40" s="323">
        <f t="shared" si="16"/>
        <v>1.2149292149292148</v>
      </c>
      <c r="X40" s="323">
        <f t="shared" si="16"/>
        <v>1.2149292149292148</v>
      </c>
      <c r="Y40" s="323">
        <f t="shared" si="16"/>
        <v>1.2149292149292148</v>
      </c>
      <c r="Z40" s="323">
        <f t="shared" si="16"/>
        <v>1.2149292149292148</v>
      </c>
      <c r="AA40" s="323">
        <f t="shared" si="16"/>
        <v>1.2149292149292148</v>
      </c>
      <c r="AB40" s="323">
        <f t="shared" si="16"/>
        <v>1.2149292149292148</v>
      </c>
      <c r="AC40" s="323">
        <f t="shared" si="16"/>
        <v>0.85045045045045031</v>
      </c>
      <c r="AD40" s="224"/>
      <c r="AE40" s="224"/>
    </row>
    <row r="41" spans="1:34" s="225" customFormat="1" ht="12.75" x14ac:dyDescent="0.2">
      <c r="A41" s="240" t="s">
        <v>125</v>
      </c>
      <c r="B41" s="323">
        <f t="shared" ref="B41:AC41" si="17">IF($B146&gt;=0.9, B$36,B$36*$B146)</f>
        <v>2.2266266266266261</v>
      </c>
      <c r="C41" s="323">
        <f t="shared" si="17"/>
        <v>2.2266266266266261</v>
      </c>
      <c r="D41" s="323">
        <f t="shared" si="17"/>
        <v>2.2266266266266261</v>
      </c>
      <c r="E41" s="323">
        <f t="shared" si="17"/>
        <v>2.2266266266266261</v>
      </c>
      <c r="F41" s="323">
        <f t="shared" si="17"/>
        <v>2.2266266266266261</v>
      </c>
      <c r="G41" s="323">
        <f t="shared" si="17"/>
        <v>2.2266266266266261</v>
      </c>
      <c r="H41" s="323">
        <f t="shared" si="17"/>
        <v>2.5447161447161442</v>
      </c>
      <c r="I41" s="323">
        <f t="shared" si="17"/>
        <v>2.5447161447161442</v>
      </c>
      <c r="J41" s="323">
        <f t="shared" si="17"/>
        <v>2.5447161447161442</v>
      </c>
      <c r="K41" s="323">
        <f t="shared" si="17"/>
        <v>2.8628056628056622</v>
      </c>
      <c r="L41" s="323">
        <f t="shared" si="17"/>
        <v>2.8628056628056622</v>
      </c>
      <c r="M41" s="323">
        <f t="shared" si="17"/>
        <v>2.8628056628056622</v>
      </c>
      <c r="N41" s="323">
        <f t="shared" si="17"/>
        <v>3.1808951808951802</v>
      </c>
      <c r="O41" s="323">
        <f t="shared" si="17"/>
        <v>3.1808951808951802</v>
      </c>
      <c r="P41" s="323">
        <f t="shared" si="17"/>
        <v>3.1808951808951802</v>
      </c>
      <c r="Q41" s="323">
        <f t="shared" si="17"/>
        <v>3.1808951808951802</v>
      </c>
      <c r="R41" s="323">
        <f t="shared" si="17"/>
        <v>3.1808951808951802</v>
      </c>
      <c r="S41" s="323">
        <f t="shared" si="17"/>
        <v>3.1808951808951802</v>
      </c>
      <c r="T41" s="323">
        <f t="shared" si="17"/>
        <v>3.1808951808951802</v>
      </c>
      <c r="U41" s="323">
        <f t="shared" si="17"/>
        <v>3.1808951808951802</v>
      </c>
      <c r="V41" s="323">
        <f t="shared" si="17"/>
        <v>3.1808951808951802</v>
      </c>
      <c r="W41" s="323">
        <f t="shared" si="17"/>
        <v>3.1808951808951802</v>
      </c>
      <c r="X41" s="323">
        <f t="shared" si="17"/>
        <v>3.1808951808951802</v>
      </c>
      <c r="Y41" s="323">
        <f t="shared" si="17"/>
        <v>3.1808951808951802</v>
      </c>
      <c r="Z41" s="323">
        <f t="shared" si="17"/>
        <v>3.1808951808951802</v>
      </c>
      <c r="AA41" s="323">
        <f t="shared" si="17"/>
        <v>3.1808951808951802</v>
      </c>
      <c r="AB41" s="323">
        <f t="shared" si="17"/>
        <v>3.1808951808951802</v>
      </c>
      <c r="AC41" s="323">
        <f t="shared" si="17"/>
        <v>2.2266266266266261</v>
      </c>
      <c r="AD41" s="224"/>
      <c r="AE41" s="224"/>
    </row>
    <row r="42" spans="1:34" s="225" customFormat="1" ht="12.75" x14ac:dyDescent="0.2">
      <c r="A42" s="240" t="s">
        <v>126</v>
      </c>
      <c r="B42" s="323">
        <f t="shared" ref="B42:AC42" si="18">IF($B147&gt;=0.9, B$36,B$36*$B147)</f>
        <v>3.8410410410410392</v>
      </c>
      <c r="C42" s="323">
        <f t="shared" si="18"/>
        <v>3.8410410410410392</v>
      </c>
      <c r="D42" s="323">
        <f t="shared" si="18"/>
        <v>3.8410410410410392</v>
      </c>
      <c r="E42" s="323">
        <f t="shared" si="18"/>
        <v>3.8410410410410392</v>
      </c>
      <c r="F42" s="323">
        <f t="shared" si="18"/>
        <v>3.8410410410410392</v>
      </c>
      <c r="G42" s="323">
        <f t="shared" si="18"/>
        <v>3.8410410410410392</v>
      </c>
      <c r="H42" s="323">
        <f t="shared" si="18"/>
        <v>4.3897611897611881</v>
      </c>
      <c r="I42" s="323">
        <f t="shared" si="18"/>
        <v>4.3897611897611881</v>
      </c>
      <c r="J42" s="323">
        <f t="shared" si="18"/>
        <v>4.3897611897611881</v>
      </c>
      <c r="K42" s="323">
        <f t="shared" si="18"/>
        <v>4.9384813384813366</v>
      </c>
      <c r="L42" s="323">
        <f t="shared" si="18"/>
        <v>4.9384813384813366</v>
      </c>
      <c r="M42" s="323">
        <f t="shared" si="18"/>
        <v>4.9384813384813366</v>
      </c>
      <c r="N42" s="323">
        <f t="shared" si="18"/>
        <v>5.4872014872014852</v>
      </c>
      <c r="O42" s="323">
        <f t="shared" si="18"/>
        <v>5.4872014872014852</v>
      </c>
      <c r="P42" s="323">
        <f t="shared" si="18"/>
        <v>5.4872014872014852</v>
      </c>
      <c r="Q42" s="323">
        <f t="shared" si="18"/>
        <v>5.4872014872014852</v>
      </c>
      <c r="R42" s="323">
        <f t="shared" si="18"/>
        <v>5.4872014872014852</v>
      </c>
      <c r="S42" s="323">
        <f t="shared" si="18"/>
        <v>5.4872014872014852</v>
      </c>
      <c r="T42" s="323">
        <f t="shared" si="18"/>
        <v>5.4872014872014852</v>
      </c>
      <c r="U42" s="323">
        <f t="shared" si="18"/>
        <v>5.4872014872014852</v>
      </c>
      <c r="V42" s="323">
        <f t="shared" si="18"/>
        <v>5.4872014872014852</v>
      </c>
      <c r="W42" s="323">
        <f t="shared" si="18"/>
        <v>5.4872014872014852</v>
      </c>
      <c r="X42" s="323">
        <f t="shared" si="18"/>
        <v>5.4872014872014852</v>
      </c>
      <c r="Y42" s="323">
        <f t="shared" si="18"/>
        <v>5.4872014872014852</v>
      </c>
      <c r="Z42" s="323">
        <f t="shared" si="18"/>
        <v>5.4872014872014852</v>
      </c>
      <c r="AA42" s="323">
        <f t="shared" si="18"/>
        <v>5.4872014872014852</v>
      </c>
      <c r="AB42" s="323">
        <f t="shared" si="18"/>
        <v>5.4872014872014852</v>
      </c>
      <c r="AC42" s="323">
        <f t="shared" si="18"/>
        <v>3.8410410410410392</v>
      </c>
      <c r="AD42" s="224"/>
      <c r="AE42" s="224"/>
    </row>
    <row r="43" spans="1:34" s="225" customFormat="1" ht="12.75" x14ac:dyDescent="0.2">
      <c r="A43" s="240" t="s">
        <v>127</v>
      </c>
      <c r="B43" s="323">
        <f t="shared" ref="B43:AC43" si="19">IF($B148&gt;=0.9, B$36,B$36*$B148)</f>
        <v>3.9059059059059043</v>
      </c>
      <c r="C43" s="323">
        <f t="shared" si="19"/>
        <v>3.9059059059059043</v>
      </c>
      <c r="D43" s="323">
        <f t="shared" si="19"/>
        <v>3.9059059059059043</v>
      </c>
      <c r="E43" s="323">
        <f t="shared" si="19"/>
        <v>3.9059059059059043</v>
      </c>
      <c r="F43" s="323">
        <f t="shared" si="19"/>
        <v>3.9059059059059043</v>
      </c>
      <c r="G43" s="323">
        <f t="shared" si="19"/>
        <v>3.9059059059059043</v>
      </c>
      <c r="H43" s="323">
        <f t="shared" si="19"/>
        <v>4.4638924638924626</v>
      </c>
      <c r="I43" s="323">
        <f t="shared" si="19"/>
        <v>4.4638924638924626</v>
      </c>
      <c r="J43" s="323">
        <f t="shared" si="19"/>
        <v>4.4638924638924626</v>
      </c>
      <c r="K43" s="323">
        <f t="shared" si="19"/>
        <v>5.0218790218790197</v>
      </c>
      <c r="L43" s="323">
        <f t="shared" si="19"/>
        <v>5.0218790218790197</v>
      </c>
      <c r="M43" s="323">
        <f t="shared" si="19"/>
        <v>5.0218790218790197</v>
      </c>
      <c r="N43" s="323">
        <f t="shared" si="19"/>
        <v>5.5798655798655776</v>
      </c>
      <c r="O43" s="323">
        <f t="shared" si="19"/>
        <v>5.5798655798655776</v>
      </c>
      <c r="P43" s="323">
        <f t="shared" si="19"/>
        <v>5.5798655798655776</v>
      </c>
      <c r="Q43" s="323">
        <f t="shared" si="19"/>
        <v>5.5798655798655776</v>
      </c>
      <c r="R43" s="323">
        <f t="shared" si="19"/>
        <v>5.5798655798655776</v>
      </c>
      <c r="S43" s="323">
        <f t="shared" si="19"/>
        <v>5.5798655798655776</v>
      </c>
      <c r="T43" s="323">
        <f t="shared" si="19"/>
        <v>5.5798655798655776</v>
      </c>
      <c r="U43" s="323">
        <f t="shared" si="19"/>
        <v>5.5798655798655776</v>
      </c>
      <c r="V43" s="323">
        <f t="shared" si="19"/>
        <v>5.5798655798655776</v>
      </c>
      <c r="W43" s="323">
        <f t="shared" si="19"/>
        <v>5.5798655798655776</v>
      </c>
      <c r="X43" s="323">
        <f t="shared" si="19"/>
        <v>5.5798655798655776</v>
      </c>
      <c r="Y43" s="323">
        <f t="shared" si="19"/>
        <v>5.5798655798655776</v>
      </c>
      <c r="Z43" s="323">
        <f t="shared" si="19"/>
        <v>5.5798655798655776</v>
      </c>
      <c r="AA43" s="323">
        <f t="shared" si="19"/>
        <v>5.5798655798655776</v>
      </c>
      <c r="AB43" s="323">
        <f t="shared" si="19"/>
        <v>5.5798655798655776</v>
      </c>
      <c r="AC43" s="323">
        <f t="shared" si="19"/>
        <v>3.9059059059059043</v>
      </c>
      <c r="AD43" s="224"/>
      <c r="AE43" s="224"/>
    </row>
    <row r="44" spans="1:34" s="225" customFormat="1" ht="12.75" x14ac:dyDescent="0.2">
      <c r="A44" s="240" t="s">
        <v>128</v>
      </c>
      <c r="B44" s="323">
        <f t="shared" ref="B44:AC44" si="20">IF($B149&gt;=0.9, B$36,B$36*$B149)</f>
        <v>3.9059059059059043</v>
      </c>
      <c r="C44" s="323">
        <f t="shared" si="20"/>
        <v>3.9059059059059043</v>
      </c>
      <c r="D44" s="323">
        <f t="shared" si="20"/>
        <v>3.9059059059059043</v>
      </c>
      <c r="E44" s="323">
        <f t="shared" si="20"/>
        <v>3.9059059059059043</v>
      </c>
      <c r="F44" s="323">
        <f t="shared" si="20"/>
        <v>3.9059059059059043</v>
      </c>
      <c r="G44" s="323">
        <f t="shared" si="20"/>
        <v>3.9059059059059043</v>
      </c>
      <c r="H44" s="323">
        <f t="shared" si="20"/>
        <v>4.4638924638924626</v>
      </c>
      <c r="I44" s="323">
        <f t="shared" si="20"/>
        <v>4.4638924638924626</v>
      </c>
      <c r="J44" s="323">
        <f t="shared" si="20"/>
        <v>4.4638924638924626</v>
      </c>
      <c r="K44" s="323">
        <f t="shared" si="20"/>
        <v>5.0218790218790197</v>
      </c>
      <c r="L44" s="323">
        <f t="shared" si="20"/>
        <v>5.0218790218790197</v>
      </c>
      <c r="M44" s="323">
        <f t="shared" si="20"/>
        <v>5.0218790218790197</v>
      </c>
      <c r="N44" s="323">
        <f t="shared" si="20"/>
        <v>5.5798655798655776</v>
      </c>
      <c r="O44" s="323">
        <f t="shared" si="20"/>
        <v>5.5798655798655776</v>
      </c>
      <c r="P44" s="323">
        <f t="shared" si="20"/>
        <v>5.5798655798655776</v>
      </c>
      <c r="Q44" s="323">
        <f t="shared" si="20"/>
        <v>5.5798655798655776</v>
      </c>
      <c r="R44" s="323">
        <f t="shared" si="20"/>
        <v>5.5798655798655776</v>
      </c>
      <c r="S44" s="323">
        <f t="shared" si="20"/>
        <v>5.5798655798655776</v>
      </c>
      <c r="T44" s="323">
        <f t="shared" si="20"/>
        <v>5.5798655798655776</v>
      </c>
      <c r="U44" s="323">
        <f t="shared" si="20"/>
        <v>5.5798655798655776</v>
      </c>
      <c r="V44" s="323">
        <f t="shared" si="20"/>
        <v>5.5798655798655776</v>
      </c>
      <c r="W44" s="323">
        <f t="shared" si="20"/>
        <v>5.5798655798655776</v>
      </c>
      <c r="X44" s="323">
        <f t="shared" si="20"/>
        <v>5.5798655798655776</v>
      </c>
      <c r="Y44" s="323">
        <f t="shared" si="20"/>
        <v>5.5798655798655776</v>
      </c>
      <c r="Z44" s="323">
        <f t="shared" si="20"/>
        <v>5.5798655798655776</v>
      </c>
      <c r="AA44" s="323">
        <f t="shared" si="20"/>
        <v>5.5798655798655776</v>
      </c>
      <c r="AB44" s="323">
        <f t="shared" si="20"/>
        <v>5.5798655798655776</v>
      </c>
      <c r="AC44" s="323">
        <f t="shared" si="20"/>
        <v>3.9059059059059043</v>
      </c>
      <c r="AD44" s="224"/>
      <c r="AE44" s="224"/>
    </row>
    <row r="45" spans="1:34" s="225" customFormat="1" ht="12.75" x14ac:dyDescent="0.2">
      <c r="A45" s="240" t="s">
        <v>129</v>
      </c>
      <c r="B45" s="323">
        <f>IF(B$13="Deploy",B$36,IF($B150&gt;=0.9, B$36,B$36*$B150))</f>
        <v>1.9571571571571567</v>
      </c>
      <c r="C45" s="323">
        <f t="shared" ref="C45:AC45" si="21">IF(C$13="Deploy",C$36,IF($B150&gt;=0.9, C$36,C$36*$B150))</f>
        <v>1.9571571571571567</v>
      </c>
      <c r="D45" s="323">
        <f t="shared" si="21"/>
        <v>1.9571571571571567</v>
      </c>
      <c r="E45" s="323">
        <f t="shared" si="21"/>
        <v>1.9571571571571567</v>
      </c>
      <c r="F45" s="323">
        <f t="shared" si="21"/>
        <v>1.9571571571571567</v>
      </c>
      <c r="G45" s="323">
        <f t="shared" si="21"/>
        <v>1.9571571571571567</v>
      </c>
      <c r="H45" s="323">
        <f t="shared" si="21"/>
        <v>2.2367510367510364</v>
      </c>
      <c r="I45" s="323">
        <f t="shared" si="21"/>
        <v>2.2367510367510364</v>
      </c>
      <c r="J45" s="323">
        <f t="shared" si="21"/>
        <v>2.2367510367510364</v>
      </c>
      <c r="K45" s="323">
        <f t="shared" si="21"/>
        <v>2.5163449163449161</v>
      </c>
      <c r="L45" s="323">
        <f t="shared" si="21"/>
        <v>2.5163449163449161</v>
      </c>
      <c r="M45" s="323">
        <f t="shared" si="21"/>
        <v>2.5163449163449161</v>
      </c>
      <c r="N45" s="323">
        <f t="shared" si="21"/>
        <v>2.7959387959387954</v>
      </c>
      <c r="O45" s="323">
        <f t="shared" si="21"/>
        <v>2.7959387959387954</v>
      </c>
      <c r="P45" s="323">
        <f t="shared" si="21"/>
        <v>2.7959387959387954</v>
      </c>
      <c r="Q45" s="323">
        <f t="shared" si="21"/>
        <v>2.7959387959387954</v>
      </c>
      <c r="R45" s="323">
        <f t="shared" si="21"/>
        <v>8</v>
      </c>
      <c r="S45" s="323">
        <f t="shared" si="21"/>
        <v>8</v>
      </c>
      <c r="T45" s="323">
        <f t="shared" si="21"/>
        <v>8</v>
      </c>
      <c r="U45" s="323">
        <f t="shared" si="21"/>
        <v>8</v>
      </c>
      <c r="V45" s="323">
        <f t="shared" si="21"/>
        <v>8</v>
      </c>
      <c r="W45" s="323">
        <f t="shared" si="21"/>
        <v>8</v>
      </c>
      <c r="X45" s="323">
        <f t="shared" si="21"/>
        <v>2.7959387959387954</v>
      </c>
      <c r="Y45" s="323">
        <f t="shared" si="21"/>
        <v>2.7959387959387954</v>
      </c>
      <c r="Z45" s="323">
        <f t="shared" si="21"/>
        <v>2.7959387959387954</v>
      </c>
      <c r="AA45" s="323">
        <f t="shared" si="21"/>
        <v>2.7959387959387954</v>
      </c>
      <c r="AB45" s="323">
        <f t="shared" si="21"/>
        <v>2.7959387959387954</v>
      </c>
      <c r="AC45" s="323">
        <f t="shared" si="21"/>
        <v>1.9571571571571567</v>
      </c>
      <c r="AD45" s="224"/>
      <c r="AE45" s="224"/>
    </row>
    <row r="46" spans="1:34" s="225" customFormat="1" ht="12.75" x14ac:dyDescent="0.2">
      <c r="A46" s="240" t="s">
        <v>130</v>
      </c>
      <c r="B46" s="323">
        <f t="shared" ref="B46:AC46" si="22">IF($B151&gt;=0.9, B$36,B$36*$B151)</f>
        <v>4.1689689689689668</v>
      </c>
      <c r="C46" s="323">
        <f t="shared" si="22"/>
        <v>4.1689689689689668</v>
      </c>
      <c r="D46" s="323">
        <f t="shared" si="22"/>
        <v>4.1689689689689668</v>
      </c>
      <c r="E46" s="323">
        <f t="shared" si="22"/>
        <v>4.1689689689689668</v>
      </c>
      <c r="F46" s="323">
        <f t="shared" si="22"/>
        <v>4.1689689689689668</v>
      </c>
      <c r="G46" s="323">
        <f t="shared" si="22"/>
        <v>4.1689689689689668</v>
      </c>
      <c r="H46" s="323">
        <f t="shared" si="22"/>
        <v>4.7645359645359626</v>
      </c>
      <c r="I46" s="323">
        <f t="shared" si="22"/>
        <v>4.7645359645359626</v>
      </c>
      <c r="J46" s="323">
        <f t="shared" si="22"/>
        <v>4.7645359645359626</v>
      </c>
      <c r="K46" s="323">
        <f t="shared" si="22"/>
        <v>5.3601029601029584</v>
      </c>
      <c r="L46" s="323">
        <f t="shared" si="22"/>
        <v>5.3601029601029584</v>
      </c>
      <c r="M46" s="323">
        <f t="shared" si="22"/>
        <v>5.3601029601029584</v>
      </c>
      <c r="N46" s="323">
        <f t="shared" si="22"/>
        <v>5.9556699556699533</v>
      </c>
      <c r="O46" s="323">
        <f t="shared" si="22"/>
        <v>5.9556699556699533</v>
      </c>
      <c r="P46" s="323">
        <f t="shared" si="22"/>
        <v>5.9556699556699533</v>
      </c>
      <c r="Q46" s="323">
        <f t="shared" si="22"/>
        <v>5.9556699556699533</v>
      </c>
      <c r="R46" s="323">
        <f t="shared" si="22"/>
        <v>5.9556699556699533</v>
      </c>
      <c r="S46" s="323">
        <f t="shared" si="22"/>
        <v>5.9556699556699533</v>
      </c>
      <c r="T46" s="323">
        <f t="shared" si="22"/>
        <v>5.9556699556699533</v>
      </c>
      <c r="U46" s="323">
        <f t="shared" si="22"/>
        <v>5.9556699556699533</v>
      </c>
      <c r="V46" s="323">
        <f t="shared" si="22"/>
        <v>5.9556699556699533</v>
      </c>
      <c r="W46" s="323">
        <f t="shared" si="22"/>
        <v>5.9556699556699533</v>
      </c>
      <c r="X46" s="323">
        <f t="shared" si="22"/>
        <v>5.9556699556699533</v>
      </c>
      <c r="Y46" s="323">
        <f t="shared" si="22"/>
        <v>5.9556699556699533</v>
      </c>
      <c r="Z46" s="323">
        <f t="shared" si="22"/>
        <v>5.9556699556699533</v>
      </c>
      <c r="AA46" s="323">
        <f t="shared" si="22"/>
        <v>5.9556699556699533</v>
      </c>
      <c r="AB46" s="323">
        <f t="shared" si="22"/>
        <v>5.9556699556699533</v>
      </c>
      <c r="AC46" s="323">
        <f t="shared" si="22"/>
        <v>4.1689689689689668</v>
      </c>
      <c r="AD46" s="224"/>
      <c r="AE46" s="224"/>
    </row>
    <row r="47" spans="1:34" s="225" customFormat="1" ht="12.75" x14ac:dyDescent="0.2">
      <c r="A47" s="240" t="s">
        <v>131</v>
      </c>
      <c r="B47" s="323">
        <f>IF(B$13="Deploy",B$36,IF($B152&gt;=0.9, B$36,B$36*$B152))</f>
        <v>1.8256256256256251</v>
      </c>
      <c r="C47" s="323">
        <f t="shared" ref="C47:AC47" si="23">IF(C$13="Deploy",C$36,IF($B152&gt;=0.9, C$36,C$36*$B152))</f>
        <v>1.8256256256256251</v>
      </c>
      <c r="D47" s="323">
        <f t="shared" si="23"/>
        <v>1.8256256256256251</v>
      </c>
      <c r="E47" s="323">
        <f t="shared" si="23"/>
        <v>1.8256256256256251</v>
      </c>
      <c r="F47" s="323">
        <f t="shared" si="23"/>
        <v>1.8256256256256251</v>
      </c>
      <c r="G47" s="323">
        <f t="shared" si="23"/>
        <v>1.8256256256256251</v>
      </c>
      <c r="H47" s="323">
        <f t="shared" si="23"/>
        <v>2.0864292864292859</v>
      </c>
      <c r="I47" s="323">
        <f t="shared" si="23"/>
        <v>2.0864292864292859</v>
      </c>
      <c r="J47" s="323">
        <f t="shared" si="23"/>
        <v>2.0864292864292859</v>
      </c>
      <c r="K47" s="323">
        <f t="shared" si="23"/>
        <v>2.3472329472329467</v>
      </c>
      <c r="L47" s="323">
        <f t="shared" si="23"/>
        <v>2.3472329472329467</v>
      </c>
      <c r="M47" s="323">
        <f t="shared" si="23"/>
        <v>2.3472329472329467</v>
      </c>
      <c r="N47" s="323">
        <f t="shared" si="23"/>
        <v>2.6080366080366075</v>
      </c>
      <c r="O47" s="323">
        <f t="shared" si="23"/>
        <v>2.6080366080366075</v>
      </c>
      <c r="P47" s="323">
        <f t="shared" si="23"/>
        <v>2.6080366080366075</v>
      </c>
      <c r="Q47" s="323">
        <f t="shared" si="23"/>
        <v>2.6080366080366075</v>
      </c>
      <c r="R47" s="323">
        <f t="shared" si="23"/>
        <v>8</v>
      </c>
      <c r="S47" s="323">
        <f t="shared" si="23"/>
        <v>8</v>
      </c>
      <c r="T47" s="323">
        <f t="shared" si="23"/>
        <v>8</v>
      </c>
      <c r="U47" s="323">
        <f t="shared" si="23"/>
        <v>8</v>
      </c>
      <c r="V47" s="323">
        <f t="shared" si="23"/>
        <v>8</v>
      </c>
      <c r="W47" s="323">
        <f t="shared" si="23"/>
        <v>8</v>
      </c>
      <c r="X47" s="323">
        <f t="shared" si="23"/>
        <v>2.6080366080366075</v>
      </c>
      <c r="Y47" s="323">
        <f t="shared" si="23"/>
        <v>2.6080366080366075</v>
      </c>
      <c r="Z47" s="323">
        <f t="shared" si="23"/>
        <v>2.6080366080366075</v>
      </c>
      <c r="AA47" s="323">
        <f t="shared" si="23"/>
        <v>2.6080366080366075</v>
      </c>
      <c r="AB47" s="323">
        <f t="shared" si="23"/>
        <v>2.6080366080366075</v>
      </c>
      <c r="AC47" s="323">
        <f t="shared" si="23"/>
        <v>1.8256256256256251</v>
      </c>
      <c r="AD47" s="224"/>
      <c r="AE47" s="224"/>
    </row>
    <row r="48" spans="1:34" s="225" customFormat="1" ht="12.75" x14ac:dyDescent="0.2">
      <c r="A48" s="240" t="s">
        <v>132</v>
      </c>
      <c r="B48" s="323">
        <f t="shared" ref="B48:AC48" si="24">IF($B153&gt;=0.9, B$36,B$36*$B153)</f>
        <v>5.6</v>
      </c>
      <c r="C48" s="323">
        <f t="shared" si="24"/>
        <v>5.6</v>
      </c>
      <c r="D48" s="323">
        <f t="shared" si="24"/>
        <v>5.6</v>
      </c>
      <c r="E48" s="323">
        <f t="shared" si="24"/>
        <v>5.6</v>
      </c>
      <c r="F48" s="323">
        <f t="shared" si="24"/>
        <v>5.6</v>
      </c>
      <c r="G48" s="323">
        <f t="shared" si="24"/>
        <v>5.6</v>
      </c>
      <c r="H48" s="323">
        <f t="shared" si="24"/>
        <v>6.4</v>
      </c>
      <c r="I48" s="323">
        <f t="shared" si="24"/>
        <v>6.4</v>
      </c>
      <c r="J48" s="323">
        <f t="shared" si="24"/>
        <v>6.4</v>
      </c>
      <c r="K48" s="323">
        <f t="shared" si="24"/>
        <v>7.2</v>
      </c>
      <c r="L48" s="323">
        <f t="shared" si="24"/>
        <v>7.2</v>
      </c>
      <c r="M48" s="323">
        <f t="shared" si="24"/>
        <v>7.2</v>
      </c>
      <c r="N48" s="323">
        <f t="shared" si="24"/>
        <v>8</v>
      </c>
      <c r="O48" s="323">
        <f t="shared" si="24"/>
        <v>8</v>
      </c>
      <c r="P48" s="323">
        <f t="shared" si="24"/>
        <v>8</v>
      </c>
      <c r="Q48" s="323">
        <f t="shared" si="24"/>
        <v>8</v>
      </c>
      <c r="R48" s="323">
        <f t="shared" si="24"/>
        <v>8</v>
      </c>
      <c r="S48" s="323">
        <f t="shared" si="24"/>
        <v>8</v>
      </c>
      <c r="T48" s="323">
        <f t="shared" si="24"/>
        <v>8</v>
      </c>
      <c r="U48" s="323">
        <f t="shared" si="24"/>
        <v>8</v>
      </c>
      <c r="V48" s="323">
        <f t="shared" si="24"/>
        <v>8</v>
      </c>
      <c r="W48" s="323">
        <f t="shared" si="24"/>
        <v>8</v>
      </c>
      <c r="X48" s="323">
        <f t="shared" si="24"/>
        <v>8</v>
      </c>
      <c r="Y48" s="323">
        <f t="shared" si="24"/>
        <v>8</v>
      </c>
      <c r="Z48" s="323">
        <f t="shared" si="24"/>
        <v>8</v>
      </c>
      <c r="AA48" s="323">
        <f t="shared" si="24"/>
        <v>8</v>
      </c>
      <c r="AB48" s="323">
        <f t="shared" si="24"/>
        <v>8</v>
      </c>
      <c r="AC48" s="323">
        <f t="shared" si="24"/>
        <v>5.6</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296" t="s">
        <v>134</v>
      </c>
      <c r="B50" s="67">
        <v>5</v>
      </c>
      <c r="C50" s="67">
        <v>5</v>
      </c>
      <c r="D50" s="67">
        <v>5</v>
      </c>
      <c r="E50" s="67">
        <v>5</v>
      </c>
      <c r="F50" s="67">
        <v>5</v>
      </c>
      <c r="G50" s="67">
        <v>5</v>
      </c>
      <c r="H50" s="67">
        <v>6</v>
      </c>
      <c r="I50" s="67">
        <v>6</v>
      </c>
      <c r="J50" s="67">
        <v>6</v>
      </c>
      <c r="K50" s="67">
        <v>7</v>
      </c>
      <c r="L50" s="67">
        <v>7</v>
      </c>
      <c r="M50" s="67">
        <v>7</v>
      </c>
      <c r="N50" s="67">
        <v>8</v>
      </c>
      <c r="O50" s="67">
        <v>8</v>
      </c>
      <c r="P50" s="67">
        <v>8</v>
      </c>
      <c r="Q50" s="67">
        <v>8</v>
      </c>
      <c r="R50" s="67">
        <v>8</v>
      </c>
      <c r="S50" s="67">
        <v>8</v>
      </c>
      <c r="T50" s="67">
        <v>8</v>
      </c>
      <c r="U50" s="67">
        <v>8</v>
      </c>
      <c r="V50" s="67">
        <v>8</v>
      </c>
      <c r="W50" s="67">
        <v>8</v>
      </c>
      <c r="X50" s="67">
        <v>8</v>
      </c>
      <c r="Y50" s="67">
        <v>8</v>
      </c>
      <c r="Z50" s="67">
        <v>8</v>
      </c>
      <c r="AA50" s="67">
        <v>8</v>
      </c>
      <c r="AB50" s="356">
        <v>8</v>
      </c>
      <c r="AC50" s="67">
        <v>5</v>
      </c>
      <c r="AD50" s="38"/>
      <c r="AE50" s="38"/>
      <c r="AF50" s="38"/>
      <c r="AG50" s="38"/>
      <c r="AH50" s="38"/>
    </row>
    <row r="51" spans="1:34" x14ac:dyDescent="0.2">
      <c r="A51" s="66" t="s">
        <v>135</v>
      </c>
      <c r="B51" s="67">
        <f t="shared" ref="B51:AC51" si="25">ROUND(1*B50,2)</f>
        <v>5</v>
      </c>
      <c r="C51" s="67">
        <f t="shared" si="25"/>
        <v>5</v>
      </c>
      <c r="D51" s="67">
        <f t="shared" si="25"/>
        <v>5</v>
      </c>
      <c r="E51" s="67">
        <f t="shared" si="25"/>
        <v>5</v>
      </c>
      <c r="F51" s="67">
        <f t="shared" si="25"/>
        <v>5</v>
      </c>
      <c r="G51" s="67">
        <f t="shared" si="25"/>
        <v>5</v>
      </c>
      <c r="H51" s="67">
        <f t="shared" si="25"/>
        <v>6</v>
      </c>
      <c r="I51" s="67">
        <f t="shared" si="25"/>
        <v>6</v>
      </c>
      <c r="J51" s="67">
        <f t="shared" si="25"/>
        <v>6</v>
      </c>
      <c r="K51" s="67">
        <f t="shared" si="25"/>
        <v>7</v>
      </c>
      <c r="L51" s="67">
        <f t="shared" si="25"/>
        <v>7</v>
      </c>
      <c r="M51" s="67">
        <f t="shared" si="25"/>
        <v>7</v>
      </c>
      <c r="N51" s="67">
        <f t="shared" si="25"/>
        <v>8</v>
      </c>
      <c r="O51" s="67">
        <f t="shared" si="25"/>
        <v>8</v>
      </c>
      <c r="P51" s="67">
        <f t="shared" si="25"/>
        <v>8</v>
      </c>
      <c r="Q51" s="67">
        <f t="shared" si="25"/>
        <v>8</v>
      </c>
      <c r="R51" s="67">
        <f t="shared" si="25"/>
        <v>8</v>
      </c>
      <c r="S51" s="67">
        <f t="shared" si="25"/>
        <v>8</v>
      </c>
      <c r="T51" s="67">
        <f t="shared" si="25"/>
        <v>8</v>
      </c>
      <c r="U51" s="67">
        <f t="shared" si="25"/>
        <v>8</v>
      </c>
      <c r="V51" s="67">
        <f t="shared" si="25"/>
        <v>8</v>
      </c>
      <c r="W51" s="67">
        <f t="shared" si="25"/>
        <v>8</v>
      </c>
      <c r="X51" s="67">
        <f t="shared" si="25"/>
        <v>8</v>
      </c>
      <c r="Y51" s="67">
        <f t="shared" si="25"/>
        <v>8</v>
      </c>
      <c r="Z51" s="67">
        <f t="shared" si="25"/>
        <v>8</v>
      </c>
      <c r="AA51" s="67">
        <f t="shared" si="25"/>
        <v>8</v>
      </c>
      <c r="AB51" s="356">
        <f t="shared" si="25"/>
        <v>8</v>
      </c>
      <c r="AC51" s="67">
        <f t="shared" si="25"/>
        <v>5</v>
      </c>
      <c r="AF51" s="14"/>
      <c r="AG51" s="14"/>
      <c r="AH51" s="14"/>
    </row>
    <row r="52" spans="1:34" s="30" customFormat="1" x14ac:dyDescent="0.2">
      <c r="A52" s="64" t="s">
        <v>136</v>
      </c>
      <c r="B52" s="91">
        <v>3</v>
      </c>
      <c r="C52" s="91">
        <v>3</v>
      </c>
      <c r="D52" s="91">
        <v>3</v>
      </c>
      <c r="E52" s="91">
        <v>3</v>
      </c>
      <c r="F52" s="91">
        <v>3</v>
      </c>
      <c r="G52" s="91">
        <v>3</v>
      </c>
      <c r="H52" s="91">
        <v>3</v>
      </c>
      <c r="I52" s="91">
        <v>4</v>
      </c>
      <c r="J52" s="91">
        <v>4</v>
      </c>
      <c r="K52" s="91">
        <v>4</v>
      </c>
      <c r="L52" s="91">
        <v>4</v>
      </c>
      <c r="M52" s="91">
        <v>4</v>
      </c>
      <c r="N52" s="91">
        <v>4</v>
      </c>
      <c r="O52" s="91">
        <v>4</v>
      </c>
      <c r="P52" s="91">
        <v>4</v>
      </c>
      <c r="Q52" s="91">
        <v>4</v>
      </c>
      <c r="R52" s="91">
        <v>4</v>
      </c>
      <c r="S52" s="91">
        <v>4</v>
      </c>
      <c r="T52" s="91">
        <v>4</v>
      </c>
      <c r="U52" s="91">
        <v>4</v>
      </c>
      <c r="V52" s="91">
        <v>4</v>
      </c>
      <c r="W52" s="91">
        <v>4</v>
      </c>
      <c r="X52" s="91">
        <v>4</v>
      </c>
      <c r="Y52" s="91">
        <v>4</v>
      </c>
      <c r="Z52" s="91">
        <v>4</v>
      </c>
      <c r="AA52" s="91">
        <v>4</v>
      </c>
      <c r="AB52" s="347">
        <v>4</v>
      </c>
      <c r="AC52" s="91">
        <v>4</v>
      </c>
      <c r="AF52" s="14"/>
      <c r="AG52" s="14"/>
      <c r="AH52" s="14"/>
    </row>
    <row r="53" spans="1:34" s="30" customFormat="1" x14ac:dyDescent="0.2">
      <c r="A53" s="64" t="s">
        <v>137</v>
      </c>
      <c r="B53" s="87">
        <f>B52*0.75</f>
        <v>2.25</v>
      </c>
      <c r="C53" s="87">
        <v>3</v>
      </c>
      <c r="D53" s="87">
        <v>3</v>
      </c>
      <c r="E53" s="87">
        <v>3</v>
      </c>
      <c r="F53" s="87">
        <v>3</v>
      </c>
      <c r="G53" s="87">
        <v>3</v>
      </c>
      <c r="H53" s="87">
        <v>3</v>
      </c>
      <c r="I53" s="87">
        <v>3</v>
      </c>
      <c r="J53" s="87">
        <v>3</v>
      </c>
      <c r="K53" s="87">
        <v>3</v>
      </c>
      <c r="L53" s="87">
        <v>3</v>
      </c>
      <c r="M53" s="87">
        <v>3</v>
      </c>
      <c r="N53" s="87">
        <v>3</v>
      </c>
      <c r="O53" s="87">
        <v>3</v>
      </c>
      <c r="P53" s="87">
        <v>3</v>
      </c>
      <c r="Q53" s="87">
        <v>3</v>
      </c>
      <c r="R53" s="87">
        <v>3</v>
      </c>
      <c r="S53" s="87">
        <v>3</v>
      </c>
      <c r="T53" s="87">
        <v>3</v>
      </c>
      <c r="U53" s="87">
        <v>3</v>
      </c>
      <c r="V53" s="87">
        <v>3</v>
      </c>
      <c r="W53" s="87">
        <v>3</v>
      </c>
      <c r="X53" s="87">
        <v>3</v>
      </c>
      <c r="Y53" s="87">
        <v>3</v>
      </c>
      <c r="Z53" s="87">
        <v>3</v>
      </c>
      <c r="AA53" s="87">
        <v>3</v>
      </c>
      <c r="AB53" s="348">
        <v>3</v>
      </c>
      <c r="AC53" s="87">
        <v>3</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15</v>
      </c>
      <c r="C55" s="41">
        <f t="shared" si="26"/>
        <v>15</v>
      </c>
      <c r="D55" s="41">
        <f t="shared" si="26"/>
        <v>15</v>
      </c>
      <c r="E55" s="41">
        <f t="shared" si="26"/>
        <v>15</v>
      </c>
      <c r="F55" s="41">
        <f t="shared" si="26"/>
        <v>15</v>
      </c>
      <c r="G55" s="41">
        <f t="shared" si="26"/>
        <v>15</v>
      </c>
      <c r="H55" s="41">
        <f t="shared" si="26"/>
        <v>15</v>
      </c>
      <c r="I55" s="41">
        <f t="shared" si="26"/>
        <v>15</v>
      </c>
      <c r="J55" s="41">
        <f t="shared" si="26"/>
        <v>15</v>
      </c>
      <c r="K55" s="41">
        <f t="shared" si="26"/>
        <v>15</v>
      </c>
      <c r="L55" s="41">
        <f t="shared" si="26"/>
        <v>15</v>
      </c>
      <c r="M55" s="41">
        <f t="shared" si="26"/>
        <v>15</v>
      </c>
      <c r="N55" s="41">
        <f t="shared" si="26"/>
        <v>15</v>
      </c>
      <c r="O55" s="41">
        <f t="shared" si="26"/>
        <v>15</v>
      </c>
      <c r="P55" s="41">
        <f t="shared" si="26"/>
        <v>15</v>
      </c>
      <c r="Q55" s="41">
        <f t="shared" si="26"/>
        <v>15</v>
      </c>
      <c r="R55" s="41">
        <f t="shared" si="26"/>
        <v>15</v>
      </c>
      <c r="S55" s="41">
        <f t="shared" si="26"/>
        <v>15</v>
      </c>
      <c r="T55" s="41">
        <f t="shared" si="26"/>
        <v>15</v>
      </c>
      <c r="U55" s="41">
        <f t="shared" si="26"/>
        <v>15</v>
      </c>
      <c r="V55" s="41">
        <f t="shared" si="26"/>
        <v>15</v>
      </c>
      <c r="W55" s="41">
        <f t="shared" si="26"/>
        <v>15</v>
      </c>
      <c r="X55" s="41">
        <f t="shared" si="26"/>
        <v>15</v>
      </c>
      <c r="Y55" s="41">
        <f t="shared" si="26"/>
        <v>15</v>
      </c>
      <c r="Z55" s="41">
        <f t="shared" si="26"/>
        <v>15</v>
      </c>
      <c r="AA55" s="41">
        <f t="shared" si="26"/>
        <v>15</v>
      </c>
      <c r="AB55" s="349">
        <f t="shared" si="26"/>
        <v>15</v>
      </c>
      <c r="AC55" s="112">
        <f t="shared" si="26"/>
        <v>15</v>
      </c>
    </row>
    <row r="56" spans="1:34" x14ac:dyDescent="0.2">
      <c r="A56" s="42" t="s">
        <v>140</v>
      </c>
      <c r="B56" s="43">
        <f t="shared" ref="B56:AC56" si="27">ROUNDUP(IF(B$13="Deploy",MAX((B$89/100)*$B96,$B96),(B$89/100)*$B96),0)</f>
        <v>6</v>
      </c>
      <c r="C56" s="43">
        <f t="shared" si="27"/>
        <v>6</v>
      </c>
      <c r="D56" s="43">
        <f t="shared" si="27"/>
        <v>6</v>
      </c>
      <c r="E56" s="43">
        <f t="shared" si="27"/>
        <v>6</v>
      </c>
      <c r="F56" s="43">
        <f t="shared" si="27"/>
        <v>6</v>
      </c>
      <c r="G56" s="43">
        <f t="shared" si="27"/>
        <v>6</v>
      </c>
      <c r="H56" s="43">
        <f t="shared" si="27"/>
        <v>7</v>
      </c>
      <c r="I56" s="43">
        <f t="shared" si="27"/>
        <v>9</v>
      </c>
      <c r="J56" s="43">
        <f t="shared" si="27"/>
        <v>10</v>
      </c>
      <c r="K56" s="43">
        <f t="shared" si="27"/>
        <v>10</v>
      </c>
      <c r="L56" s="43">
        <f t="shared" si="27"/>
        <v>12</v>
      </c>
      <c r="M56" s="43">
        <f t="shared" si="27"/>
        <v>13</v>
      </c>
      <c r="N56" s="43">
        <f t="shared" si="27"/>
        <v>13</v>
      </c>
      <c r="O56" s="43">
        <f t="shared" si="27"/>
        <v>13</v>
      </c>
      <c r="P56" s="43">
        <f t="shared" si="27"/>
        <v>13</v>
      </c>
      <c r="Q56" s="43">
        <f t="shared" si="27"/>
        <v>13</v>
      </c>
      <c r="R56" s="43">
        <f t="shared" si="27"/>
        <v>15</v>
      </c>
      <c r="S56" s="43">
        <f t="shared" si="27"/>
        <v>15</v>
      </c>
      <c r="T56" s="43">
        <f t="shared" si="27"/>
        <v>15</v>
      </c>
      <c r="U56" s="43">
        <f t="shared" si="27"/>
        <v>15</v>
      </c>
      <c r="V56" s="43">
        <f t="shared" si="27"/>
        <v>15</v>
      </c>
      <c r="W56" s="43">
        <f t="shared" si="27"/>
        <v>15</v>
      </c>
      <c r="X56" s="43">
        <f t="shared" si="27"/>
        <v>15</v>
      </c>
      <c r="Y56" s="43">
        <f t="shared" si="27"/>
        <v>14</v>
      </c>
      <c r="Z56" s="43">
        <f t="shared" si="27"/>
        <v>13</v>
      </c>
      <c r="AA56" s="43">
        <f t="shared" si="27"/>
        <v>13</v>
      </c>
      <c r="AB56" s="350">
        <f t="shared" si="27"/>
        <v>13</v>
      </c>
      <c r="AC56" s="43">
        <f t="shared" si="27"/>
        <v>6</v>
      </c>
    </row>
    <row r="57" spans="1:34" x14ac:dyDescent="0.2">
      <c r="A57" s="66" t="s">
        <v>141</v>
      </c>
      <c r="B57" s="69">
        <f>B55</f>
        <v>15</v>
      </c>
      <c r="C57" s="69">
        <f t="shared" ref="C57:AB58" si="28">C55</f>
        <v>15</v>
      </c>
      <c r="D57" s="69">
        <f t="shared" si="28"/>
        <v>15</v>
      </c>
      <c r="E57" s="69">
        <f t="shared" si="28"/>
        <v>15</v>
      </c>
      <c r="F57" s="69">
        <f t="shared" si="28"/>
        <v>15</v>
      </c>
      <c r="G57" s="69">
        <f t="shared" si="28"/>
        <v>15</v>
      </c>
      <c r="H57" s="69">
        <f t="shared" si="28"/>
        <v>15</v>
      </c>
      <c r="I57" s="69">
        <f t="shared" si="28"/>
        <v>15</v>
      </c>
      <c r="J57" s="69">
        <f t="shared" si="28"/>
        <v>15</v>
      </c>
      <c r="K57" s="69">
        <f t="shared" si="28"/>
        <v>15</v>
      </c>
      <c r="L57" s="69">
        <f t="shared" si="28"/>
        <v>15</v>
      </c>
      <c r="M57" s="69">
        <f t="shared" si="28"/>
        <v>15</v>
      </c>
      <c r="N57" s="69">
        <f t="shared" si="28"/>
        <v>15</v>
      </c>
      <c r="O57" s="69">
        <f t="shared" si="28"/>
        <v>15</v>
      </c>
      <c r="P57" s="69">
        <f t="shared" si="28"/>
        <v>15</v>
      </c>
      <c r="Q57" s="69">
        <f t="shared" si="28"/>
        <v>15</v>
      </c>
      <c r="R57" s="69">
        <f t="shared" si="28"/>
        <v>15</v>
      </c>
      <c r="S57" s="69">
        <f t="shared" si="28"/>
        <v>15</v>
      </c>
      <c r="T57" s="69">
        <f t="shared" si="28"/>
        <v>15</v>
      </c>
      <c r="U57" s="69">
        <f t="shared" si="28"/>
        <v>15</v>
      </c>
      <c r="V57" s="69">
        <f t="shared" si="28"/>
        <v>15</v>
      </c>
      <c r="W57" s="69">
        <f t="shared" si="28"/>
        <v>15</v>
      </c>
      <c r="X57" s="69">
        <f t="shared" si="28"/>
        <v>15</v>
      </c>
      <c r="Y57" s="69">
        <f t="shared" si="28"/>
        <v>15</v>
      </c>
      <c r="Z57" s="69">
        <f t="shared" si="28"/>
        <v>15</v>
      </c>
      <c r="AA57" s="69">
        <f t="shared" si="28"/>
        <v>15</v>
      </c>
      <c r="AB57" s="351">
        <f t="shared" si="28"/>
        <v>15</v>
      </c>
      <c r="AC57" s="69">
        <f>AC55</f>
        <v>15</v>
      </c>
    </row>
    <row r="58" spans="1:34" x14ac:dyDescent="0.2">
      <c r="A58" s="78" t="s">
        <v>142</v>
      </c>
      <c r="B58" s="79">
        <f>C58</f>
        <v>6</v>
      </c>
      <c r="C58" s="79">
        <f>D58</f>
        <v>6</v>
      </c>
      <c r="D58" s="79">
        <f t="shared" si="28"/>
        <v>6</v>
      </c>
      <c r="E58" s="79">
        <f t="shared" si="28"/>
        <v>6</v>
      </c>
      <c r="F58" s="79">
        <f t="shared" si="28"/>
        <v>6</v>
      </c>
      <c r="G58" s="79">
        <f t="shared" si="28"/>
        <v>6</v>
      </c>
      <c r="H58" s="79">
        <f t="shared" si="28"/>
        <v>7</v>
      </c>
      <c r="I58" s="79">
        <f t="shared" si="28"/>
        <v>9</v>
      </c>
      <c r="J58" s="79">
        <f t="shared" si="28"/>
        <v>10</v>
      </c>
      <c r="K58" s="79">
        <f t="shared" si="28"/>
        <v>10</v>
      </c>
      <c r="L58" s="79">
        <f t="shared" si="28"/>
        <v>12</v>
      </c>
      <c r="M58" s="79">
        <f t="shared" si="28"/>
        <v>13</v>
      </c>
      <c r="N58" s="79">
        <f t="shared" si="28"/>
        <v>13</v>
      </c>
      <c r="O58" s="79">
        <f t="shared" si="28"/>
        <v>13</v>
      </c>
      <c r="P58" s="79">
        <f t="shared" si="28"/>
        <v>13</v>
      </c>
      <c r="Q58" s="79">
        <f t="shared" si="28"/>
        <v>13</v>
      </c>
      <c r="R58" s="79">
        <f t="shared" si="28"/>
        <v>15</v>
      </c>
      <c r="S58" s="79">
        <f t="shared" si="28"/>
        <v>15</v>
      </c>
      <c r="T58" s="79">
        <f t="shared" si="28"/>
        <v>15</v>
      </c>
      <c r="U58" s="79">
        <f t="shared" si="28"/>
        <v>15</v>
      </c>
      <c r="V58" s="79">
        <f t="shared" si="28"/>
        <v>15</v>
      </c>
      <c r="W58" s="79">
        <f t="shared" si="28"/>
        <v>15</v>
      </c>
      <c r="X58" s="79">
        <f t="shared" si="28"/>
        <v>15</v>
      </c>
      <c r="Y58" s="79">
        <f t="shared" si="28"/>
        <v>14</v>
      </c>
      <c r="Z58" s="79">
        <f t="shared" si="28"/>
        <v>13</v>
      </c>
      <c r="AA58" s="79">
        <f t="shared" si="28"/>
        <v>13</v>
      </c>
      <c r="AB58" s="352">
        <f t="shared" si="28"/>
        <v>13</v>
      </c>
      <c r="AC58" s="79">
        <f>AC56</f>
        <v>6</v>
      </c>
    </row>
    <row r="59" spans="1:34" x14ac:dyDescent="0.2">
      <c r="A59" s="42" t="str">
        <f>A99</f>
        <v>&gt; L4 Pilots</v>
      </c>
      <c r="B59" s="43">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67" si="30">A100</f>
        <v>&gt; L3 Pilots</v>
      </c>
      <c r="B60" s="43">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43">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43">
        <f t="shared" ref="B62:AC62" si="33">ROUNDUP(IF(B$13="Deploy",MAX((B$89/100)*$B102,$B102),(B$89/100)*$B102),0)</f>
        <v>6</v>
      </c>
      <c r="C62" s="43">
        <f t="shared" si="33"/>
        <v>6</v>
      </c>
      <c r="D62" s="43">
        <f t="shared" si="33"/>
        <v>6</v>
      </c>
      <c r="E62" s="43">
        <f t="shared" si="33"/>
        <v>6</v>
      </c>
      <c r="F62" s="43">
        <f t="shared" si="33"/>
        <v>6</v>
      </c>
      <c r="G62" s="43">
        <f t="shared" si="33"/>
        <v>6</v>
      </c>
      <c r="H62" s="43">
        <f t="shared" si="33"/>
        <v>7</v>
      </c>
      <c r="I62" s="43">
        <f t="shared" si="33"/>
        <v>9</v>
      </c>
      <c r="J62" s="43">
        <f t="shared" si="33"/>
        <v>10</v>
      </c>
      <c r="K62" s="43">
        <f t="shared" si="33"/>
        <v>10</v>
      </c>
      <c r="L62" s="43">
        <f t="shared" si="33"/>
        <v>12</v>
      </c>
      <c r="M62" s="43">
        <f t="shared" si="33"/>
        <v>13</v>
      </c>
      <c r="N62" s="43">
        <f t="shared" si="33"/>
        <v>13</v>
      </c>
      <c r="O62" s="43">
        <f t="shared" si="33"/>
        <v>13</v>
      </c>
      <c r="P62" s="43">
        <f t="shared" si="33"/>
        <v>13</v>
      </c>
      <c r="Q62" s="43">
        <f t="shared" si="33"/>
        <v>13</v>
      </c>
      <c r="R62" s="43">
        <f t="shared" si="33"/>
        <v>15</v>
      </c>
      <c r="S62" s="43">
        <f t="shared" si="33"/>
        <v>15</v>
      </c>
      <c r="T62" s="43">
        <f t="shared" si="33"/>
        <v>15</v>
      </c>
      <c r="U62" s="43">
        <f t="shared" si="33"/>
        <v>15</v>
      </c>
      <c r="V62" s="43">
        <f t="shared" si="33"/>
        <v>15</v>
      </c>
      <c r="W62" s="43">
        <f t="shared" si="33"/>
        <v>15</v>
      </c>
      <c r="X62" s="43">
        <f t="shared" si="33"/>
        <v>15</v>
      </c>
      <c r="Y62" s="43">
        <f t="shared" si="33"/>
        <v>14</v>
      </c>
      <c r="Z62" s="43">
        <f t="shared" si="33"/>
        <v>13</v>
      </c>
      <c r="AA62" s="43">
        <f t="shared" si="33"/>
        <v>13</v>
      </c>
      <c r="AB62" s="350">
        <f t="shared" si="33"/>
        <v>13</v>
      </c>
      <c r="AC62" s="43">
        <f t="shared" si="33"/>
        <v>6</v>
      </c>
    </row>
    <row r="63" spans="1:34" s="21" customFormat="1" x14ac:dyDescent="0.2">
      <c r="A63" s="42" t="str">
        <f t="shared" si="30"/>
        <v>&gt; L4 WSO</v>
      </c>
      <c r="B63" s="43">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43">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43">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43">
        <f t="shared" ref="B66:AC66" si="37">ROUNDUP(IF(B$13="Deploy",MAX((B$89/100)*$B106,$B106),(B$89/100)*$B106),0)</f>
        <v>6</v>
      </c>
      <c r="C66" s="43">
        <f t="shared" si="37"/>
        <v>6</v>
      </c>
      <c r="D66" s="43">
        <f t="shared" si="37"/>
        <v>6</v>
      </c>
      <c r="E66" s="43">
        <f t="shared" si="37"/>
        <v>6</v>
      </c>
      <c r="F66" s="43">
        <f t="shared" si="37"/>
        <v>6</v>
      </c>
      <c r="G66" s="43">
        <f t="shared" si="37"/>
        <v>6</v>
      </c>
      <c r="H66" s="43">
        <f t="shared" si="37"/>
        <v>7</v>
      </c>
      <c r="I66" s="43">
        <f t="shared" si="37"/>
        <v>9</v>
      </c>
      <c r="J66" s="43">
        <f t="shared" si="37"/>
        <v>10</v>
      </c>
      <c r="K66" s="43">
        <f t="shared" si="37"/>
        <v>10</v>
      </c>
      <c r="L66" s="43">
        <f t="shared" si="37"/>
        <v>12</v>
      </c>
      <c r="M66" s="43">
        <f t="shared" si="37"/>
        <v>13</v>
      </c>
      <c r="N66" s="43">
        <f t="shared" si="37"/>
        <v>13</v>
      </c>
      <c r="O66" s="43">
        <f t="shared" si="37"/>
        <v>13</v>
      </c>
      <c r="P66" s="43">
        <f t="shared" si="37"/>
        <v>13</v>
      </c>
      <c r="Q66" s="43">
        <f t="shared" si="37"/>
        <v>13</v>
      </c>
      <c r="R66" s="43">
        <f t="shared" si="37"/>
        <v>15</v>
      </c>
      <c r="S66" s="43">
        <f t="shared" si="37"/>
        <v>15</v>
      </c>
      <c r="T66" s="43">
        <f t="shared" si="37"/>
        <v>15</v>
      </c>
      <c r="U66" s="43">
        <f t="shared" si="37"/>
        <v>15</v>
      </c>
      <c r="V66" s="43">
        <f t="shared" si="37"/>
        <v>15</v>
      </c>
      <c r="W66" s="43">
        <f t="shared" si="37"/>
        <v>15</v>
      </c>
      <c r="X66" s="43">
        <f t="shared" si="37"/>
        <v>15</v>
      </c>
      <c r="Y66" s="43">
        <f t="shared" si="37"/>
        <v>14</v>
      </c>
      <c r="Z66" s="43">
        <f t="shared" si="37"/>
        <v>13</v>
      </c>
      <c r="AA66" s="43">
        <f t="shared" si="37"/>
        <v>13</v>
      </c>
      <c r="AB66" s="350">
        <f t="shared" si="37"/>
        <v>13</v>
      </c>
      <c r="AC66" s="43">
        <f t="shared" si="37"/>
        <v>6</v>
      </c>
    </row>
    <row r="67" spans="1:47" s="21" customFormat="1" x14ac:dyDescent="0.2">
      <c r="A67" s="42" t="str">
        <f t="shared" si="30"/>
        <v>NVG Qual - Pilot</v>
      </c>
      <c r="B67" s="43">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21" customFormat="1" x14ac:dyDescent="0.2">
      <c r="A68" s="42" t="str">
        <f t="shared" ref="A68:A74" si="39">A108</f>
        <v>NVG Qual - WSO</v>
      </c>
      <c r="B68" s="43">
        <f t="shared" ref="B68:AB68" si="40">ROUNDUP(IF(B$13="Deploy",MAX((B$89/100)*$B108,$B108),(B$89/100)*$B108),0)</f>
        <v>5</v>
      </c>
      <c r="C68" s="43">
        <f t="shared" si="40"/>
        <v>5</v>
      </c>
      <c r="D68" s="43">
        <f t="shared" si="40"/>
        <v>5</v>
      </c>
      <c r="E68" s="43">
        <f t="shared" si="40"/>
        <v>5</v>
      </c>
      <c r="F68" s="43">
        <f t="shared" si="40"/>
        <v>5</v>
      </c>
      <c r="G68" s="43">
        <f t="shared" si="40"/>
        <v>5</v>
      </c>
      <c r="H68" s="43">
        <f t="shared" si="40"/>
        <v>6</v>
      </c>
      <c r="I68" s="43">
        <f t="shared" si="40"/>
        <v>7</v>
      </c>
      <c r="J68" s="43">
        <f t="shared" si="40"/>
        <v>8</v>
      </c>
      <c r="K68" s="43">
        <f t="shared" si="40"/>
        <v>8</v>
      </c>
      <c r="L68" s="43">
        <f t="shared" si="40"/>
        <v>9</v>
      </c>
      <c r="M68" s="43">
        <f t="shared" si="40"/>
        <v>11</v>
      </c>
      <c r="N68" s="43">
        <f t="shared" si="40"/>
        <v>11</v>
      </c>
      <c r="O68" s="43">
        <f t="shared" si="40"/>
        <v>11</v>
      </c>
      <c r="P68" s="43">
        <f t="shared" si="40"/>
        <v>11</v>
      </c>
      <c r="Q68" s="43">
        <f t="shared" si="40"/>
        <v>11</v>
      </c>
      <c r="R68" s="43">
        <f t="shared" si="40"/>
        <v>12</v>
      </c>
      <c r="S68" s="43">
        <f t="shared" si="40"/>
        <v>12</v>
      </c>
      <c r="T68" s="43">
        <f t="shared" si="40"/>
        <v>12</v>
      </c>
      <c r="U68" s="43">
        <f t="shared" si="40"/>
        <v>12</v>
      </c>
      <c r="V68" s="43">
        <f t="shared" si="40"/>
        <v>12</v>
      </c>
      <c r="W68" s="43">
        <f t="shared" si="40"/>
        <v>12</v>
      </c>
      <c r="X68" s="43">
        <f t="shared" si="40"/>
        <v>12</v>
      </c>
      <c r="Y68" s="43">
        <f t="shared" si="40"/>
        <v>11</v>
      </c>
      <c r="Z68" s="43">
        <f t="shared" si="40"/>
        <v>11</v>
      </c>
      <c r="AA68" s="43">
        <f t="shared" si="40"/>
        <v>11</v>
      </c>
      <c r="AB68" s="350">
        <f t="shared" si="40"/>
        <v>10</v>
      </c>
      <c r="AC68" s="43">
        <f>ROUNDUP(IF(AC$13="Deploy",MAX((AC$89/100)*$B108,$B108),(AC$89/100)*$B108),0)</f>
        <v>5</v>
      </c>
    </row>
    <row r="69" spans="1:47" s="21" customFormat="1" x14ac:dyDescent="0.2">
      <c r="A69" s="42" t="str">
        <f t="shared" si="39"/>
        <v>JHMCS Qual - Pilot</v>
      </c>
      <c r="B69" s="43">
        <f t="shared" ref="B69:AB69" si="41">ROUNDUP(IF(B$13="Deploy",MAX((B$89/100)*$B109,$B109),(B$89/100)*$B109),0)</f>
        <v>5</v>
      </c>
      <c r="C69" s="43">
        <f t="shared" si="41"/>
        <v>5</v>
      </c>
      <c r="D69" s="43">
        <f t="shared" si="41"/>
        <v>5</v>
      </c>
      <c r="E69" s="43">
        <f t="shared" si="41"/>
        <v>5</v>
      </c>
      <c r="F69" s="43">
        <f t="shared" si="41"/>
        <v>5</v>
      </c>
      <c r="G69" s="43">
        <f t="shared" si="41"/>
        <v>5</v>
      </c>
      <c r="H69" s="43">
        <f t="shared" si="41"/>
        <v>6</v>
      </c>
      <c r="I69" s="43">
        <f t="shared" si="41"/>
        <v>7</v>
      </c>
      <c r="J69" s="43">
        <f t="shared" si="41"/>
        <v>8</v>
      </c>
      <c r="K69" s="43">
        <f t="shared" si="41"/>
        <v>8</v>
      </c>
      <c r="L69" s="43">
        <f t="shared" si="41"/>
        <v>9</v>
      </c>
      <c r="M69" s="43">
        <f t="shared" si="41"/>
        <v>11</v>
      </c>
      <c r="N69" s="43">
        <f t="shared" si="41"/>
        <v>11</v>
      </c>
      <c r="O69" s="43">
        <f t="shared" si="41"/>
        <v>11</v>
      </c>
      <c r="P69" s="43">
        <f t="shared" si="41"/>
        <v>11</v>
      </c>
      <c r="Q69" s="43">
        <f t="shared" si="41"/>
        <v>11</v>
      </c>
      <c r="R69" s="43">
        <f t="shared" si="41"/>
        <v>12</v>
      </c>
      <c r="S69" s="43">
        <f t="shared" si="41"/>
        <v>12</v>
      </c>
      <c r="T69" s="43">
        <f t="shared" si="41"/>
        <v>12</v>
      </c>
      <c r="U69" s="43">
        <f t="shared" si="41"/>
        <v>12</v>
      </c>
      <c r="V69" s="43">
        <f t="shared" si="41"/>
        <v>12</v>
      </c>
      <c r="W69" s="43">
        <f t="shared" si="41"/>
        <v>12</v>
      </c>
      <c r="X69" s="43">
        <f t="shared" si="41"/>
        <v>12</v>
      </c>
      <c r="Y69" s="43">
        <f t="shared" si="41"/>
        <v>11</v>
      </c>
      <c r="Z69" s="43">
        <f t="shared" si="41"/>
        <v>11</v>
      </c>
      <c r="AA69" s="43">
        <f t="shared" si="41"/>
        <v>11</v>
      </c>
      <c r="AB69" s="350">
        <f t="shared" si="41"/>
        <v>10</v>
      </c>
      <c r="AC69" s="43">
        <f>ROUNDUP(IF(AC$13="Deploy",MAX((AC$89/100)*$B109,$B109),(AC$89/100)*$B109),0)</f>
        <v>5</v>
      </c>
    </row>
    <row r="70" spans="1:47" s="21" customFormat="1" x14ac:dyDescent="0.2">
      <c r="A70" s="42" t="str">
        <f t="shared" si="39"/>
        <v>JMPS SME</v>
      </c>
      <c r="B70" s="43">
        <f t="shared" ref="B70:AB70" si="42">ROUNDUP(IF(B$13="Deploy",MAX((B$89/100)*$B110,$B110),(B$89/100)*$B110),0)</f>
        <v>2</v>
      </c>
      <c r="C70" s="43">
        <f t="shared" si="42"/>
        <v>2</v>
      </c>
      <c r="D70" s="43">
        <f t="shared" si="42"/>
        <v>2</v>
      </c>
      <c r="E70" s="43">
        <f t="shared" si="42"/>
        <v>2</v>
      </c>
      <c r="F70" s="43">
        <f t="shared" si="42"/>
        <v>2</v>
      </c>
      <c r="G70" s="43">
        <f t="shared" si="42"/>
        <v>2</v>
      </c>
      <c r="H70" s="43">
        <f t="shared" si="42"/>
        <v>2</v>
      </c>
      <c r="I70" s="43">
        <f t="shared" si="42"/>
        <v>2</v>
      </c>
      <c r="J70" s="43">
        <f t="shared" si="42"/>
        <v>2</v>
      </c>
      <c r="K70" s="43">
        <f t="shared" si="42"/>
        <v>2</v>
      </c>
      <c r="L70" s="43">
        <f t="shared" si="42"/>
        <v>3</v>
      </c>
      <c r="M70" s="43">
        <f t="shared" si="42"/>
        <v>3</v>
      </c>
      <c r="N70" s="43">
        <f t="shared" si="42"/>
        <v>3</v>
      </c>
      <c r="O70" s="43">
        <f t="shared" si="42"/>
        <v>3</v>
      </c>
      <c r="P70" s="43">
        <f t="shared" si="42"/>
        <v>3</v>
      </c>
      <c r="Q70" s="43">
        <f t="shared" si="42"/>
        <v>3</v>
      </c>
      <c r="R70" s="43">
        <f t="shared" si="42"/>
        <v>3</v>
      </c>
      <c r="S70" s="43">
        <f t="shared" si="42"/>
        <v>3</v>
      </c>
      <c r="T70" s="43">
        <f t="shared" si="42"/>
        <v>3</v>
      </c>
      <c r="U70" s="43">
        <f t="shared" si="42"/>
        <v>3</v>
      </c>
      <c r="V70" s="43">
        <f t="shared" si="42"/>
        <v>3</v>
      </c>
      <c r="W70" s="43">
        <f t="shared" si="42"/>
        <v>3</v>
      </c>
      <c r="X70" s="43">
        <f t="shared" si="42"/>
        <v>3</v>
      </c>
      <c r="Y70" s="43">
        <f t="shared" si="42"/>
        <v>3</v>
      </c>
      <c r="Z70" s="43">
        <f t="shared" si="42"/>
        <v>3</v>
      </c>
      <c r="AA70" s="43">
        <f t="shared" si="42"/>
        <v>3</v>
      </c>
      <c r="AB70" s="350">
        <f t="shared" si="42"/>
        <v>3</v>
      </c>
      <c r="AC70" s="43">
        <v>0</v>
      </c>
    </row>
    <row r="71" spans="1:47" s="21" customFormat="1" x14ac:dyDescent="0.2">
      <c r="A71" s="42" t="str">
        <f t="shared" si="39"/>
        <v xml:space="preserve">CVW STK LEAD </v>
      </c>
      <c r="B71" s="43">
        <f t="shared" ref="B71:AB71" si="43">ROUNDUP(IF(B$13="Deploy",MAX((B$89/100)*$B111,$B111),(B$89/100)*$B111),0)</f>
        <v>2</v>
      </c>
      <c r="C71" s="43">
        <f t="shared" si="43"/>
        <v>2</v>
      </c>
      <c r="D71" s="43">
        <f t="shared" si="43"/>
        <v>2</v>
      </c>
      <c r="E71" s="43">
        <f t="shared" si="43"/>
        <v>2</v>
      </c>
      <c r="F71" s="43">
        <f t="shared" si="43"/>
        <v>2</v>
      </c>
      <c r="G71" s="43">
        <f t="shared" si="43"/>
        <v>2</v>
      </c>
      <c r="H71" s="43">
        <f t="shared" si="43"/>
        <v>2</v>
      </c>
      <c r="I71" s="43">
        <f t="shared" si="43"/>
        <v>2</v>
      </c>
      <c r="J71" s="43">
        <f t="shared" si="43"/>
        <v>2</v>
      </c>
      <c r="K71" s="43">
        <f t="shared" si="43"/>
        <v>2</v>
      </c>
      <c r="L71" s="43">
        <f t="shared" si="43"/>
        <v>3</v>
      </c>
      <c r="M71" s="43">
        <f t="shared" si="43"/>
        <v>3</v>
      </c>
      <c r="N71" s="43">
        <f t="shared" si="43"/>
        <v>3</v>
      </c>
      <c r="O71" s="43">
        <f t="shared" si="43"/>
        <v>3</v>
      </c>
      <c r="P71" s="43">
        <f t="shared" si="43"/>
        <v>3</v>
      </c>
      <c r="Q71" s="43">
        <f t="shared" si="43"/>
        <v>3</v>
      </c>
      <c r="R71" s="43">
        <f t="shared" si="43"/>
        <v>3</v>
      </c>
      <c r="S71" s="43">
        <f t="shared" si="43"/>
        <v>3</v>
      </c>
      <c r="T71" s="43">
        <f t="shared" si="43"/>
        <v>3</v>
      </c>
      <c r="U71" s="43">
        <f t="shared" si="43"/>
        <v>3</v>
      </c>
      <c r="V71" s="43">
        <f t="shared" si="43"/>
        <v>3</v>
      </c>
      <c r="W71" s="43">
        <f t="shared" si="43"/>
        <v>3</v>
      </c>
      <c r="X71" s="43">
        <f t="shared" si="43"/>
        <v>3</v>
      </c>
      <c r="Y71" s="43">
        <f t="shared" si="43"/>
        <v>3</v>
      </c>
      <c r="Z71" s="43">
        <f t="shared" si="43"/>
        <v>3</v>
      </c>
      <c r="AA71" s="43">
        <f t="shared" si="43"/>
        <v>3</v>
      </c>
      <c r="AB71" s="350">
        <f t="shared" si="43"/>
        <v>3</v>
      </c>
      <c r="AC71" s="43">
        <v>0</v>
      </c>
    </row>
    <row r="72" spans="1:47" s="21" customFormat="1" x14ac:dyDescent="0.2">
      <c r="A72" s="42" t="str">
        <f t="shared" si="39"/>
        <v>FAC(A) - Pilot</v>
      </c>
      <c r="B72" s="43">
        <f t="shared" ref="B72:AB72" si="44">ROUNDUP(IF(B$13="Deploy",MAX((B$89/100)*$B112,$B112),(B$89/100)*$B112),0)</f>
        <v>2</v>
      </c>
      <c r="C72" s="43">
        <f t="shared" si="44"/>
        <v>2</v>
      </c>
      <c r="D72" s="43">
        <f t="shared" si="44"/>
        <v>2</v>
      </c>
      <c r="E72" s="43">
        <f t="shared" si="44"/>
        <v>2</v>
      </c>
      <c r="F72" s="43">
        <f t="shared" si="44"/>
        <v>2</v>
      </c>
      <c r="G72" s="43">
        <f t="shared" si="44"/>
        <v>2</v>
      </c>
      <c r="H72" s="43">
        <f t="shared" si="44"/>
        <v>2</v>
      </c>
      <c r="I72" s="43">
        <f t="shared" si="44"/>
        <v>3</v>
      </c>
      <c r="J72" s="43">
        <f t="shared" si="44"/>
        <v>3</v>
      </c>
      <c r="K72" s="43">
        <f t="shared" si="44"/>
        <v>3</v>
      </c>
      <c r="L72" s="43">
        <f t="shared" si="44"/>
        <v>3</v>
      </c>
      <c r="M72" s="43">
        <f t="shared" si="44"/>
        <v>4</v>
      </c>
      <c r="N72" s="43">
        <f t="shared" si="44"/>
        <v>4</v>
      </c>
      <c r="O72" s="43">
        <f t="shared" si="44"/>
        <v>4</v>
      </c>
      <c r="P72" s="43">
        <f t="shared" si="44"/>
        <v>4</v>
      </c>
      <c r="Q72" s="43">
        <f t="shared" si="44"/>
        <v>4</v>
      </c>
      <c r="R72" s="43">
        <f t="shared" si="44"/>
        <v>4</v>
      </c>
      <c r="S72" s="43">
        <f t="shared" si="44"/>
        <v>4</v>
      </c>
      <c r="T72" s="43">
        <f t="shared" si="44"/>
        <v>4</v>
      </c>
      <c r="U72" s="43">
        <f t="shared" si="44"/>
        <v>4</v>
      </c>
      <c r="V72" s="43">
        <f t="shared" si="44"/>
        <v>4</v>
      </c>
      <c r="W72" s="43">
        <f t="shared" si="44"/>
        <v>4</v>
      </c>
      <c r="X72" s="43">
        <f t="shared" si="44"/>
        <v>4</v>
      </c>
      <c r="Y72" s="43">
        <f t="shared" si="44"/>
        <v>4</v>
      </c>
      <c r="Z72" s="43">
        <f t="shared" si="44"/>
        <v>4</v>
      </c>
      <c r="AA72" s="43">
        <f t="shared" si="44"/>
        <v>4</v>
      </c>
      <c r="AB72" s="350">
        <f t="shared" si="44"/>
        <v>4</v>
      </c>
      <c r="AC72" s="43">
        <v>0</v>
      </c>
    </row>
    <row r="73" spans="1:47" s="21" customFormat="1" x14ac:dyDescent="0.2">
      <c r="A73" s="42" t="str">
        <f t="shared" si="39"/>
        <v>FAC(A) - WSO</v>
      </c>
      <c r="B73" s="43">
        <f t="shared" ref="B73:AB73" si="45">ROUNDUP(IF(B$13="Deploy",MAX((B$89/100)*$B113,$B113),(B$89/100)*$B113),0)</f>
        <v>2</v>
      </c>
      <c r="C73" s="43">
        <f t="shared" si="45"/>
        <v>2</v>
      </c>
      <c r="D73" s="43">
        <f t="shared" si="45"/>
        <v>2</v>
      </c>
      <c r="E73" s="43">
        <f t="shared" si="45"/>
        <v>2</v>
      </c>
      <c r="F73" s="43">
        <f t="shared" si="45"/>
        <v>2</v>
      </c>
      <c r="G73" s="43">
        <f t="shared" si="45"/>
        <v>2</v>
      </c>
      <c r="H73" s="43">
        <f t="shared" si="45"/>
        <v>2</v>
      </c>
      <c r="I73" s="43">
        <f t="shared" si="45"/>
        <v>3</v>
      </c>
      <c r="J73" s="43">
        <f t="shared" si="45"/>
        <v>3</v>
      </c>
      <c r="K73" s="43">
        <f t="shared" si="45"/>
        <v>3</v>
      </c>
      <c r="L73" s="43">
        <f t="shared" si="45"/>
        <v>3</v>
      </c>
      <c r="M73" s="43">
        <f t="shared" si="45"/>
        <v>4</v>
      </c>
      <c r="N73" s="43">
        <f t="shared" si="45"/>
        <v>4</v>
      </c>
      <c r="O73" s="43">
        <f t="shared" si="45"/>
        <v>4</v>
      </c>
      <c r="P73" s="43">
        <f t="shared" si="45"/>
        <v>4</v>
      </c>
      <c r="Q73" s="43">
        <f t="shared" si="45"/>
        <v>4</v>
      </c>
      <c r="R73" s="43">
        <f t="shared" si="45"/>
        <v>4</v>
      </c>
      <c r="S73" s="43">
        <f t="shared" si="45"/>
        <v>4</v>
      </c>
      <c r="T73" s="43">
        <f t="shared" si="45"/>
        <v>4</v>
      </c>
      <c r="U73" s="43">
        <f t="shared" si="45"/>
        <v>4</v>
      </c>
      <c r="V73" s="43">
        <f t="shared" si="45"/>
        <v>4</v>
      </c>
      <c r="W73" s="43">
        <f t="shared" si="45"/>
        <v>4</v>
      </c>
      <c r="X73" s="43">
        <f t="shared" si="45"/>
        <v>4</v>
      </c>
      <c r="Y73" s="43">
        <f t="shared" si="45"/>
        <v>4</v>
      </c>
      <c r="Z73" s="43">
        <f t="shared" si="45"/>
        <v>4</v>
      </c>
      <c r="AA73" s="43">
        <f t="shared" si="45"/>
        <v>4</v>
      </c>
      <c r="AB73" s="350">
        <f t="shared" si="45"/>
        <v>4</v>
      </c>
      <c r="AC73" s="43">
        <v>0</v>
      </c>
    </row>
    <row r="74" spans="1:47" s="21" customFormat="1" x14ac:dyDescent="0.2">
      <c r="A74" s="42" t="str">
        <f t="shared" si="39"/>
        <v>Required Skilled Crews</v>
      </c>
      <c r="B74" s="43">
        <f t="shared" ref="B74:AB74" si="46">ROUNDUP(IF(B$13="Deploy",MAX((B$89/100)*$B114,$B114),(B$89/100)*$B114),0)</f>
        <v>5</v>
      </c>
      <c r="C74" s="43">
        <f t="shared" si="46"/>
        <v>5</v>
      </c>
      <c r="D74" s="43">
        <f t="shared" si="46"/>
        <v>5</v>
      </c>
      <c r="E74" s="43">
        <f t="shared" si="46"/>
        <v>5</v>
      </c>
      <c r="F74" s="43">
        <f t="shared" si="46"/>
        <v>5</v>
      </c>
      <c r="G74" s="43">
        <f t="shared" si="46"/>
        <v>5</v>
      </c>
      <c r="H74" s="43">
        <f t="shared" si="46"/>
        <v>6</v>
      </c>
      <c r="I74" s="43">
        <f t="shared" si="46"/>
        <v>7</v>
      </c>
      <c r="J74" s="43">
        <f t="shared" si="46"/>
        <v>8</v>
      </c>
      <c r="K74" s="43">
        <f t="shared" si="46"/>
        <v>8</v>
      </c>
      <c r="L74" s="43">
        <f t="shared" si="46"/>
        <v>9</v>
      </c>
      <c r="M74" s="43">
        <f t="shared" si="46"/>
        <v>11</v>
      </c>
      <c r="N74" s="43">
        <f t="shared" si="46"/>
        <v>11</v>
      </c>
      <c r="O74" s="43">
        <f t="shared" si="46"/>
        <v>11</v>
      </c>
      <c r="P74" s="43">
        <f t="shared" si="46"/>
        <v>11</v>
      </c>
      <c r="Q74" s="43">
        <f t="shared" si="46"/>
        <v>11</v>
      </c>
      <c r="R74" s="43">
        <f t="shared" si="46"/>
        <v>12</v>
      </c>
      <c r="S74" s="43">
        <f t="shared" si="46"/>
        <v>12</v>
      </c>
      <c r="T74" s="43">
        <f t="shared" si="46"/>
        <v>12</v>
      </c>
      <c r="U74" s="43">
        <f t="shared" si="46"/>
        <v>12</v>
      </c>
      <c r="V74" s="43">
        <f t="shared" si="46"/>
        <v>12</v>
      </c>
      <c r="W74" s="43">
        <f t="shared" si="46"/>
        <v>12</v>
      </c>
      <c r="X74" s="43">
        <f t="shared" si="46"/>
        <v>12</v>
      </c>
      <c r="Y74" s="43">
        <f t="shared" si="46"/>
        <v>11</v>
      </c>
      <c r="Z74" s="43">
        <f t="shared" si="46"/>
        <v>11</v>
      </c>
      <c r="AA74" s="43">
        <f t="shared" si="46"/>
        <v>11</v>
      </c>
      <c r="AB74" s="350">
        <f t="shared" si="46"/>
        <v>10</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X79" s="14"/>
      <c r="Y79" s="14"/>
      <c r="Z79" s="14"/>
      <c r="AA79" s="14"/>
      <c r="AB79" s="14"/>
      <c r="AC79" s="21"/>
      <c r="AD79" s="21"/>
      <c r="AE79" s="21"/>
      <c r="AH79" s="21"/>
      <c r="AI79" s="21"/>
      <c r="AJ79" s="21"/>
      <c r="AK79" s="21"/>
      <c r="AL79" s="21"/>
      <c r="AM79" s="21"/>
      <c r="AN79" s="21"/>
      <c r="AO79" s="21"/>
      <c r="AP79" s="21"/>
      <c r="AQ79" s="21"/>
      <c r="AR79" s="21"/>
    </row>
    <row r="80" spans="1:47" x14ac:dyDescent="0.2">
      <c r="A80" s="14"/>
      <c r="B80" s="30"/>
      <c r="C80" s="30"/>
      <c r="D80" s="30"/>
      <c r="E80" s="30"/>
      <c r="F80" s="30"/>
      <c r="AC80" s="21"/>
      <c r="AD80" s="21"/>
      <c r="AE80" s="21"/>
      <c r="AH80" s="21"/>
      <c r="AI80" s="21"/>
      <c r="AJ80" s="21"/>
      <c r="AK80" s="21"/>
      <c r="AL80" s="21"/>
      <c r="AM80" s="21"/>
      <c r="AN80" s="21"/>
      <c r="AO80" s="21"/>
      <c r="AP80" s="21"/>
      <c r="AQ80" s="21"/>
      <c r="AR80" s="21"/>
    </row>
    <row r="81" spans="1:36" x14ac:dyDescent="0.2">
      <c r="B81" s="30"/>
      <c r="C81" s="30"/>
      <c r="D81" s="30"/>
      <c r="E81" s="30"/>
      <c r="F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7">MIN(100,B86+$B$90)</f>
        <v>45.901136923127005</v>
      </c>
      <c r="C84" s="45">
        <f t="shared" si="47"/>
        <v>45.901136923127005</v>
      </c>
      <c r="D84" s="45">
        <f t="shared" si="47"/>
        <v>45.901136923127005</v>
      </c>
      <c r="E84" s="45">
        <f t="shared" si="47"/>
        <v>45.901136923127005</v>
      </c>
      <c r="F84" s="45">
        <f t="shared" si="47"/>
        <v>45.901136923127005</v>
      </c>
      <c r="G84" s="45">
        <f t="shared" si="47"/>
        <v>53.901136923127005</v>
      </c>
      <c r="H84" s="45">
        <f t="shared" si="47"/>
        <v>55.901136923127005</v>
      </c>
      <c r="I84" s="45">
        <f t="shared" si="47"/>
        <v>55.901136923127005</v>
      </c>
      <c r="J84" s="45">
        <f t="shared" si="47"/>
        <v>65.901136923127012</v>
      </c>
      <c r="K84" s="45">
        <f t="shared" si="47"/>
        <v>90.901136923127012</v>
      </c>
      <c r="L84" s="45">
        <f t="shared" si="47"/>
        <v>100</v>
      </c>
      <c r="M84" s="45">
        <f t="shared" si="47"/>
        <v>100</v>
      </c>
      <c r="N84" s="45">
        <f t="shared" si="47"/>
        <v>100</v>
      </c>
      <c r="O84" s="45">
        <f t="shared" si="47"/>
        <v>100</v>
      </c>
      <c r="P84" s="45">
        <f t="shared" si="47"/>
        <v>100</v>
      </c>
      <c r="Q84" s="45">
        <f t="shared" si="47"/>
        <v>100</v>
      </c>
      <c r="R84" s="45">
        <f t="shared" si="47"/>
        <v>100</v>
      </c>
      <c r="S84" s="45">
        <f t="shared" si="47"/>
        <v>100</v>
      </c>
      <c r="T84" s="45">
        <f t="shared" si="47"/>
        <v>100</v>
      </c>
      <c r="U84" s="45">
        <f t="shared" si="47"/>
        <v>100</v>
      </c>
      <c r="V84" s="45">
        <f t="shared" si="47"/>
        <v>100</v>
      </c>
      <c r="W84" s="45">
        <f t="shared" si="47"/>
        <v>100</v>
      </c>
      <c r="X84" s="45">
        <f t="shared" si="47"/>
        <v>100</v>
      </c>
      <c r="Y84" s="45">
        <f t="shared" si="47"/>
        <v>100</v>
      </c>
      <c r="Z84" s="45">
        <f t="shared" si="47"/>
        <v>100</v>
      </c>
      <c r="AA84" s="45">
        <f t="shared" si="47"/>
        <v>100</v>
      </c>
      <c r="AB84" s="46">
        <f t="shared" si="47"/>
        <v>100</v>
      </c>
      <c r="AC84" s="124">
        <f t="shared" si="47"/>
        <v>45.901136923127005</v>
      </c>
      <c r="AI84" s="97"/>
      <c r="AJ84" s="97"/>
    </row>
    <row r="85" spans="1:36" x14ac:dyDescent="0.2">
      <c r="A85" s="44" t="s">
        <v>149</v>
      </c>
      <c r="B85" s="45">
        <f t="shared" ref="B85:AC85" si="48">MIN(100,B86+$B$91)</f>
        <v>27.950568461563503</v>
      </c>
      <c r="C85" s="45">
        <f t="shared" si="48"/>
        <v>27.950568461563503</v>
      </c>
      <c r="D85" s="45">
        <f t="shared" si="48"/>
        <v>27.950568461563503</v>
      </c>
      <c r="E85" s="45">
        <f t="shared" si="48"/>
        <v>27.950568461563503</v>
      </c>
      <c r="F85" s="45">
        <f t="shared" si="48"/>
        <v>27.950568461563503</v>
      </c>
      <c r="G85" s="45">
        <f t="shared" si="48"/>
        <v>35.950568461563506</v>
      </c>
      <c r="H85" s="45">
        <f t="shared" si="48"/>
        <v>37.950568461563506</v>
      </c>
      <c r="I85" s="45">
        <f t="shared" si="48"/>
        <v>37.950568461563506</v>
      </c>
      <c r="J85" s="45">
        <f t="shared" si="48"/>
        <v>47.950568461563506</v>
      </c>
      <c r="K85" s="45">
        <f t="shared" si="48"/>
        <v>72.950568461563506</v>
      </c>
      <c r="L85" s="45">
        <f t="shared" si="48"/>
        <v>97.950568461563506</v>
      </c>
      <c r="M85" s="45">
        <f t="shared" si="48"/>
        <v>100</v>
      </c>
      <c r="N85" s="45">
        <f t="shared" si="48"/>
        <v>100</v>
      </c>
      <c r="O85" s="45">
        <f t="shared" si="48"/>
        <v>100</v>
      </c>
      <c r="P85" s="45">
        <f t="shared" si="48"/>
        <v>100</v>
      </c>
      <c r="Q85" s="45">
        <f t="shared" si="48"/>
        <v>100</v>
      </c>
      <c r="R85" s="45">
        <f t="shared" si="48"/>
        <v>100</v>
      </c>
      <c r="S85" s="45">
        <f t="shared" si="48"/>
        <v>100</v>
      </c>
      <c r="T85" s="45">
        <f t="shared" si="48"/>
        <v>100</v>
      </c>
      <c r="U85" s="45">
        <f t="shared" si="48"/>
        <v>100</v>
      </c>
      <c r="V85" s="45">
        <f t="shared" si="48"/>
        <v>100</v>
      </c>
      <c r="W85" s="45">
        <f t="shared" si="48"/>
        <v>100</v>
      </c>
      <c r="X85" s="45">
        <f t="shared" si="48"/>
        <v>100</v>
      </c>
      <c r="Y85" s="45">
        <f t="shared" si="48"/>
        <v>100</v>
      </c>
      <c r="Z85" s="45">
        <f t="shared" si="48"/>
        <v>100</v>
      </c>
      <c r="AA85" s="45">
        <f t="shared" si="48"/>
        <v>100</v>
      </c>
      <c r="AB85" s="46">
        <f t="shared" si="48"/>
        <v>98.950568461563506</v>
      </c>
      <c r="AC85" s="125">
        <f t="shared" si="48"/>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9">MIN(80,IF(AND(B15&gt;=11,B15&lt;23),80,MAX(0,B86-$B$91)))</f>
        <v>0</v>
      </c>
      <c r="C87" s="45">
        <f t="shared" si="49"/>
        <v>0</v>
      </c>
      <c r="D87" s="45">
        <f t="shared" si="49"/>
        <v>0</v>
      </c>
      <c r="E87" s="45">
        <f t="shared" si="49"/>
        <v>0</v>
      </c>
      <c r="F87" s="45">
        <f t="shared" si="49"/>
        <v>0</v>
      </c>
      <c r="G87" s="45">
        <f t="shared" si="49"/>
        <v>4.9431538436497391E-2</v>
      </c>
      <c r="H87" s="45">
        <f t="shared" si="49"/>
        <v>2.0494315384364974</v>
      </c>
      <c r="I87" s="45">
        <f t="shared" si="49"/>
        <v>2.0494315384364974</v>
      </c>
      <c r="J87" s="45">
        <f t="shared" si="49"/>
        <v>12.049431538436497</v>
      </c>
      <c r="K87" s="45">
        <f t="shared" si="49"/>
        <v>37.049431538436494</v>
      </c>
      <c r="L87" s="45">
        <f t="shared" si="49"/>
        <v>80</v>
      </c>
      <c r="M87" s="45">
        <f t="shared" si="49"/>
        <v>80</v>
      </c>
      <c r="N87" s="45">
        <f t="shared" si="49"/>
        <v>80</v>
      </c>
      <c r="O87" s="45">
        <f t="shared" si="49"/>
        <v>80</v>
      </c>
      <c r="P87" s="45">
        <f t="shared" si="49"/>
        <v>80</v>
      </c>
      <c r="Q87" s="45">
        <f t="shared" si="49"/>
        <v>80</v>
      </c>
      <c r="R87" s="45">
        <f t="shared" si="49"/>
        <v>80</v>
      </c>
      <c r="S87" s="45">
        <f t="shared" si="49"/>
        <v>80</v>
      </c>
      <c r="T87" s="45">
        <f t="shared" si="49"/>
        <v>80</v>
      </c>
      <c r="U87" s="45">
        <f t="shared" si="49"/>
        <v>80</v>
      </c>
      <c r="V87" s="45">
        <f t="shared" si="49"/>
        <v>80</v>
      </c>
      <c r="W87" s="45">
        <f t="shared" si="49"/>
        <v>80</v>
      </c>
      <c r="X87" s="45">
        <f t="shared" si="49"/>
        <v>76.049431538436494</v>
      </c>
      <c r="Y87" s="45">
        <f t="shared" si="49"/>
        <v>73.049431538436494</v>
      </c>
      <c r="Z87" s="45">
        <f t="shared" si="49"/>
        <v>67.049431538436494</v>
      </c>
      <c r="AA87" s="45">
        <f t="shared" si="49"/>
        <v>66.049431538436494</v>
      </c>
      <c r="AB87" s="45">
        <f t="shared" si="49"/>
        <v>63.049431538436494</v>
      </c>
      <c r="AC87" s="125">
        <f>MIN(80,IF(AC13="Deploy",80,MAX(0,AC86-$B$91)))</f>
        <v>0</v>
      </c>
      <c r="AD87" s="21"/>
      <c r="AE87" s="21"/>
      <c r="AF87" s="22"/>
      <c r="AG87" s="12"/>
      <c r="AH87" s="23"/>
      <c r="AI87" s="97"/>
      <c r="AJ87" s="97"/>
    </row>
    <row r="88" spans="1:36" ht="12.75" thickBot="1" x14ac:dyDescent="0.25">
      <c r="A88" s="47" t="s">
        <v>152</v>
      </c>
      <c r="B88" s="48">
        <f t="shared" ref="B88:AC88" si="50">MIN(60,IF(B14="Deploy",60,MAX(0,B86-$B$90)))</f>
        <v>0</v>
      </c>
      <c r="C88" s="48">
        <f t="shared" si="50"/>
        <v>0</v>
      </c>
      <c r="D88" s="48">
        <f t="shared" si="50"/>
        <v>0</v>
      </c>
      <c r="E88" s="48">
        <f t="shared" si="50"/>
        <v>0</v>
      </c>
      <c r="F88" s="48">
        <f t="shared" si="50"/>
        <v>0</v>
      </c>
      <c r="G88" s="48">
        <f t="shared" si="50"/>
        <v>0</v>
      </c>
      <c r="H88" s="48">
        <f t="shared" si="50"/>
        <v>0</v>
      </c>
      <c r="I88" s="48">
        <f t="shared" si="50"/>
        <v>0</v>
      </c>
      <c r="J88" s="48">
        <f t="shared" si="50"/>
        <v>0</v>
      </c>
      <c r="K88" s="48">
        <f t="shared" si="50"/>
        <v>19.098863076872995</v>
      </c>
      <c r="L88" s="48">
        <f t="shared" si="50"/>
        <v>44.098863076872995</v>
      </c>
      <c r="M88" s="48">
        <f t="shared" si="50"/>
        <v>49.098863076872995</v>
      </c>
      <c r="N88" s="48">
        <f t="shared" si="50"/>
        <v>49.098863076872995</v>
      </c>
      <c r="O88" s="48">
        <f t="shared" si="50"/>
        <v>49.098863076872995</v>
      </c>
      <c r="P88" s="48">
        <f t="shared" si="50"/>
        <v>49.098863076872995</v>
      </c>
      <c r="Q88" s="48">
        <f t="shared" si="50"/>
        <v>49.098863076872995</v>
      </c>
      <c r="R88" s="48">
        <f t="shared" si="50"/>
        <v>60</v>
      </c>
      <c r="S88" s="48">
        <f t="shared" si="50"/>
        <v>60</v>
      </c>
      <c r="T88" s="48">
        <f t="shared" si="50"/>
        <v>60</v>
      </c>
      <c r="U88" s="48">
        <f t="shared" si="50"/>
        <v>60</v>
      </c>
      <c r="V88" s="48">
        <f t="shared" si="50"/>
        <v>60</v>
      </c>
      <c r="W88" s="48">
        <f t="shared" si="50"/>
        <v>60</v>
      </c>
      <c r="X88" s="48">
        <f t="shared" si="50"/>
        <v>58.098863076872995</v>
      </c>
      <c r="Y88" s="48">
        <f t="shared" si="50"/>
        <v>55.098863076872995</v>
      </c>
      <c r="Z88" s="48">
        <f t="shared" si="50"/>
        <v>49.098863076872995</v>
      </c>
      <c r="AA88" s="48">
        <f t="shared" si="50"/>
        <v>48.098863076872995</v>
      </c>
      <c r="AB88" s="49">
        <f t="shared" si="50"/>
        <v>45.098863076872995</v>
      </c>
      <c r="AC88" s="127">
        <f t="shared" si="50"/>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15</v>
      </c>
      <c r="D95" s="30"/>
      <c r="E95" s="30"/>
      <c r="F95" s="30"/>
      <c r="AI95" s="97"/>
      <c r="AJ95" s="97"/>
    </row>
    <row r="96" spans="1:36" x14ac:dyDescent="0.2">
      <c r="A96" s="50" t="s">
        <v>140</v>
      </c>
      <c r="B96" s="51">
        <v>15</v>
      </c>
      <c r="AI96" s="97"/>
      <c r="AJ96" s="97"/>
    </row>
    <row r="97" spans="1:36" x14ac:dyDescent="0.2">
      <c r="A97" s="75" t="s">
        <v>141</v>
      </c>
      <c r="B97" s="77">
        <v>15</v>
      </c>
      <c r="AI97" s="97"/>
      <c r="AJ97" s="97"/>
    </row>
    <row r="98" spans="1:36" x14ac:dyDescent="0.2">
      <c r="A98" s="50" t="s">
        <v>142</v>
      </c>
      <c r="B98" s="51">
        <v>15</v>
      </c>
      <c r="AI98" s="97"/>
      <c r="AJ98" s="97"/>
    </row>
    <row r="99" spans="1:36" x14ac:dyDescent="0.2">
      <c r="A99" s="50" t="s">
        <v>158</v>
      </c>
      <c r="B99" s="51">
        <v>5</v>
      </c>
      <c r="E99" s="73"/>
      <c r="F99" s="21"/>
      <c r="AI99" s="97"/>
      <c r="AJ99" s="97"/>
    </row>
    <row r="100" spans="1:36" x14ac:dyDescent="0.2">
      <c r="A100" s="50" t="s">
        <v>159</v>
      </c>
      <c r="B100" s="51">
        <v>7</v>
      </c>
      <c r="E100" s="74"/>
      <c r="AI100" s="97"/>
      <c r="AJ100" s="97"/>
    </row>
    <row r="101" spans="1:36" x14ac:dyDescent="0.2">
      <c r="A101" s="50" t="s">
        <v>160</v>
      </c>
      <c r="B101" s="51">
        <v>12</v>
      </c>
      <c r="E101" s="74"/>
      <c r="AI101" s="97"/>
      <c r="AJ101" s="97"/>
    </row>
    <row r="102" spans="1:36" x14ac:dyDescent="0.2">
      <c r="A102" s="50" t="s">
        <v>161</v>
      </c>
      <c r="B102" s="51">
        <v>15</v>
      </c>
      <c r="E102" s="73"/>
      <c r="F102" s="21"/>
      <c r="AI102" s="97"/>
      <c r="AJ102" s="97"/>
    </row>
    <row r="103" spans="1:36" x14ac:dyDescent="0.2">
      <c r="A103" s="50" t="s">
        <v>162</v>
      </c>
      <c r="B103" s="51">
        <v>5</v>
      </c>
      <c r="E103" s="74"/>
      <c r="AI103" s="97"/>
      <c r="AJ103" s="97"/>
    </row>
    <row r="104" spans="1:36" x14ac:dyDescent="0.2">
      <c r="A104" s="50" t="s">
        <v>163</v>
      </c>
      <c r="B104" s="51">
        <v>7</v>
      </c>
      <c r="E104" s="74"/>
      <c r="AI104" s="97"/>
      <c r="AJ104" s="97"/>
    </row>
    <row r="105" spans="1:36" x14ac:dyDescent="0.2">
      <c r="A105" s="50" t="s">
        <v>164</v>
      </c>
      <c r="B105" s="51">
        <v>12</v>
      </c>
      <c r="E105" s="74"/>
      <c r="AI105" s="97"/>
      <c r="AJ105" s="97"/>
    </row>
    <row r="106" spans="1:36" s="97" customFormat="1" x14ac:dyDescent="0.2">
      <c r="A106" s="50" t="s">
        <v>165</v>
      </c>
      <c r="B106" s="51">
        <v>15</v>
      </c>
      <c r="E106" s="73"/>
      <c r="F106" s="21"/>
      <c r="AB106" s="109"/>
      <c r="AC106" s="4"/>
      <c r="AD106" s="4"/>
    </row>
    <row r="107" spans="1:36" x14ac:dyDescent="0.2">
      <c r="A107" s="50" t="s">
        <v>166</v>
      </c>
      <c r="B107" s="51">
        <v>12</v>
      </c>
      <c r="E107" s="74"/>
      <c r="AI107" s="97"/>
      <c r="AJ107" s="97"/>
    </row>
    <row r="108" spans="1:36" x14ac:dyDescent="0.2">
      <c r="A108" s="50" t="s">
        <v>167</v>
      </c>
      <c r="B108" s="51">
        <v>12</v>
      </c>
      <c r="E108" s="74"/>
      <c r="AI108" s="97"/>
      <c r="AJ108" s="97"/>
    </row>
    <row r="109" spans="1:36" x14ac:dyDescent="0.2">
      <c r="A109" s="50" t="s">
        <v>168</v>
      </c>
      <c r="B109" s="51">
        <v>12</v>
      </c>
      <c r="E109" s="74"/>
      <c r="AI109" s="97"/>
      <c r="AJ109" s="97"/>
    </row>
    <row r="110" spans="1:36" x14ac:dyDescent="0.2">
      <c r="A110" s="50" t="s">
        <v>169</v>
      </c>
      <c r="B110" s="51">
        <v>3</v>
      </c>
      <c r="D110" s="97"/>
      <c r="E110" s="74"/>
    </row>
    <row r="111" spans="1:36" x14ac:dyDescent="0.2">
      <c r="A111" s="50" t="s">
        <v>170</v>
      </c>
      <c r="B111" s="51">
        <v>3</v>
      </c>
      <c r="E111" s="73"/>
      <c r="F111" s="21"/>
      <c r="AI111" s="97"/>
      <c r="AJ111" s="97"/>
    </row>
    <row r="112" spans="1:36" x14ac:dyDescent="0.2">
      <c r="A112" s="50" t="s">
        <v>171</v>
      </c>
      <c r="B112" s="51">
        <v>4</v>
      </c>
      <c r="E112" s="74"/>
      <c r="AI112" s="97"/>
      <c r="AJ112" s="97"/>
    </row>
    <row r="113" spans="1:38" x14ac:dyDescent="0.2">
      <c r="A113" s="50" t="s">
        <v>172</v>
      </c>
      <c r="B113" s="51">
        <v>4</v>
      </c>
      <c r="E113" s="74"/>
      <c r="AI113" s="97"/>
      <c r="AJ113" s="97"/>
    </row>
    <row r="114" spans="1:38" ht="12.75" thickBot="1" x14ac:dyDescent="0.25">
      <c r="A114" s="53" t="s">
        <v>173</v>
      </c>
      <c r="B114" s="54">
        <v>12</v>
      </c>
      <c r="E114" s="74"/>
      <c r="F114" s="97"/>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10</v>
      </c>
      <c r="C122" s="160">
        <v>10</v>
      </c>
      <c r="D122" s="162">
        <v>9</v>
      </c>
      <c r="E122" s="162">
        <v>7</v>
      </c>
      <c r="F122" s="164">
        <v>6</v>
      </c>
      <c r="G122" s="209">
        <v>0</v>
      </c>
    </row>
    <row r="123" spans="1:38" x14ac:dyDescent="0.2">
      <c r="A123" s="157" t="s">
        <v>185</v>
      </c>
      <c r="B123" s="160">
        <v>10</v>
      </c>
      <c r="C123" s="160">
        <v>8</v>
      </c>
      <c r="D123" s="162">
        <v>7</v>
      </c>
      <c r="E123" s="162">
        <v>5</v>
      </c>
      <c r="F123" s="164">
        <v>4</v>
      </c>
      <c r="G123" s="209">
        <v>0</v>
      </c>
    </row>
    <row r="124" spans="1:38" x14ac:dyDescent="0.2">
      <c r="A124" s="208" t="s">
        <v>122</v>
      </c>
      <c r="B124" s="363"/>
      <c r="C124" s="364"/>
      <c r="D124" s="364"/>
      <c r="E124" s="364"/>
      <c r="F124" s="364"/>
      <c r="G124" s="171"/>
    </row>
    <row r="125" spans="1:38" ht="12.75" x14ac:dyDescent="0.2">
      <c r="A125" s="240" t="s">
        <v>123</v>
      </c>
      <c r="B125" s="213">
        <v>10</v>
      </c>
      <c r="C125" s="160">
        <f>ROUND(R39,0)</f>
        <v>6</v>
      </c>
      <c r="D125" s="162">
        <f t="shared" ref="D125:D134" si="51">C125-1</f>
        <v>5</v>
      </c>
      <c r="E125" s="162">
        <f>ROUND(H39,0)</f>
        <v>4</v>
      </c>
      <c r="F125" s="164">
        <v>3</v>
      </c>
      <c r="G125" s="165">
        <v>0</v>
      </c>
    </row>
    <row r="126" spans="1:38" ht="12.75" x14ac:dyDescent="0.2">
      <c r="A126" s="240" t="s">
        <v>124</v>
      </c>
      <c r="B126" s="160">
        <v>10</v>
      </c>
      <c r="C126" s="160">
        <f t="shared" ref="C126:C132" si="52">ROUND(R40,0)</f>
        <v>1</v>
      </c>
      <c r="D126" s="162">
        <v>1</v>
      </c>
      <c r="E126" s="162">
        <f>ROUND(H40,0)</f>
        <v>1</v>
      </c>
      <c r="F126" s="164">
        <v>0</v>
      </c>
      <c r="G126" s="209">
        <v>0</v>
      </c>
    </row>
    <row r="127" spans="1:38" ht="12.75" x14ac:dyDescent="0.2">
      <c r="A127" s="240" t="s">
        <v>125</v>
      </c>
      <c r="B127" s="160">
        <v>10</v>
      </c>
      <c r="C127" s="160">
        <f t="shared" si="52"/>
        <v>3</v>
      </c>
      <c r="D127" s="162">
        <f t="shared" si="51"/>
        <v>2</v>
      </c>
      <c r="E127" s="162"/>
      <c r="F127" s="164">
        <v>1</v>
      </c>
      <c r="G127" s="209">
        <v>0</v>
      </c>
    </row>
    <row r="128" spans="1:38" ht="12.75" x14ac:dyDescent="0.2">
      <c r="A128" s="240" t="s">
        <v>126</v>
      </c>
      <c r="B128" s="160">
        <v>10</v>
      </c>
      <c r="C128" s="160">
        <f t="shared" si="52"/>
        <v>5</v>
      </c>
      <c r="D128" s="162">
        <f t="shared" si="51"/>
        <v>4</v>
      </c>
      <c r="E128" s="162">
        <v>3</v>
      </c>
      <c r="F128" s="164">
        <v>2</v>
      </c>
      <c r="G128" s="209">
        <v>0</v>
      </c>
    </row>
    <row r="129" spans="1:7" ht="12.75" x14ac:dyDescent="0.2">
      <c r="A129" s="240" t="s">
        <v>127</v>
      </c>
      <c r="B129" s="160">
        <v>10</v>
      </c>
      <c r="C129" s="160">
        <f t="shared" si="52"/>
        <v>6</v>
      </c>
      <c r="D129" s="162">
        <f t="shared" si="51"/>
        <v>5</v>
      </c>
      <c r="E129" s="162">
        <f>ROUND(H43,0)</f>
        <v>4</v>
      </c>
      <c r="F129" s="164">
        <v>3</v>
      </c>
      <c r="G129" s="209">
        <v>0</v>
      </c>
    </row>
    <row r="130" spans="1:7" ht="12.75" x14ac:dyDescent="0.2">
      <c r="A130" s="240" t="s">
        <v>128</v>
      </c>
      <c r="B130" s="160">
        <v>10</v>
      </c>
      <c r="C130" s="160">
        <f t="shared" si="52"/>
        <v>6</v>
      </c>
      <c r="D130" s="162">
        <f t="shared" si="51"/>
        <v>5</v>
      </c>
      <c r="E130" s="162">
        <f>ROUND(H44,0)</f>
        <v>4</v>
      </c>
      <c r="F130" s="164">
        <v>3</v>
      </c>
      <c r="G130" s="209">
        <v>0</v>
      </c>
    </row>
    <row r="131" spans="1:7" ht="12.75" x14ac:dyDescent="0.2">
      <c r="A131" s="240" t="s">
        <v>129</v>
      </c>
      <c r="B131" s="160">
        <v>10</v>
      </c>
      <c r="C131" s="160">
        <f>ROUNDDOWN(R45,0)</f>
        <v>8</v>
      </c>
      <c r="D131" s="162">
        <f t="shared" si="51"/>
        <v>7</v>
      </c>
      <c r="E131" s="162">
        <f>ROUND(H45,0)</f>
        <v>2</v>
      </c>
      <c r="F131" s="164">
        <v>1</v>
      </c>
      <c r="G131" s="209">
        <v>0</v>
      </c>
    </row>
    <row r="132" spans="1:7" ht="12.75" x14ac:dyDescent="0.2">
      <c r="A132" s="240" t="s">
        <v>130</v>
      </c>
      <c r="B132" s="160">
        <v>10</v>
      </c>
      <c r="C132" s="160">
        <f t="shared" si="52"/>
        <v>6</v>
      </c>
      <c r="D132" s="162">
        <f t="shared" si="51"/>
        <v>5</v>
      </c>
      <c r="E132" s="162">
        <v>4</v>
      </c>
      <c r="F132" s="164">
        <v>3</v>
      </c>
      <c r="G132" s="209">
        <v>0</v>
      </c>
    </row>
    <row r="133" spans="1:7" ht="12.75" x14ac:dyDescent="0.2">
      <c r="A133" s="240" t="s">
        <v>131</v>
      </c>
      <c r="B133" s="160">
        <v>10</v>
      </c>
      <c r="C133" s="160">
        <f>ROUNDDOWN(R47,0)</f>
        <v>8</v>
      </c>
      <c r="D133" s="162">
        <f t="shared" si="51"/>
        <v>7</v>
      </c>
      <c r="E133" s="162">
        <f>ROUND(H47,0)</f>
        <v>2</v>
      </c>
      <c r="F133" s="164">
        <v>1</v>
      </c>
      <c r="G133" s="209">
        <v>0</v>
      </c>
    </row>
    <row r="134" spans="1:7" ht="12.75" x14ac:dyDescent="0.2">
      <c r="A134" s="240" t="s">
        <v>132</v>
      </c>
      <c r="B134" s="160">
        <v>10</v>
      </c>
      <c r="C134" s="160">
        <f>ROUNDDOWN(R48,0)</f>
        <v>8</v>
      </c>
      <c r="D134" s="162">
        <f t="shared" si="51"/>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4</v>
      </c>
      <c r="C138" s="167">
        <v>4</v>
      </c>
      <c r="D138" s="169">
        <v>3</v>
      </c>
      <c r="E138" s="169">
        <v>2</v>
      </c>
      <c r="F138" s="170">
        <v>1</v>
      </c>
      <c r="G138" s="214">
        <v>0</v>
      </c>
    </row>
    <row r="139" spans="1:7" ht="12.75" thickBot="1" x14ac:dyDescent="0.25">
      <c r="A139" s="158" t="s">
        <v>187</v>
      </c>
      <c r="B139" s="161">
        <v>4</v>
      </c>
      <c r="C139" s="161">
        <v>3</v>
      </c>
      <c r="D139" s="163">
        <v>2</v>
      </c>
      <c r="E139" s="163">
        <v>2</v>
      </c>
      <c r="F139" s="166">
        <v>1</v>
      </c>
      <c r="G139" s="215">
        <v>0</v>
      </c>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3">A40</f>
        <v>Ready HARM Support Mission System (D)</v>
      </c>
      <c r="B145" s="342">
        <f>HLOOKUP($B$142,'FA-18EF Mission System Summary'!$B$1:$F$12,4,FALSE)</f>
        <v>0.15186615186615185</v>
      </c>
    </row>
    <row r="146" spans="1:2" x14ac:dyDescent="0.2">
      <c r="A146" s="341" t="str">
        <f t="shared" si="53"/>
        <v>Ready Missile Launch Mission System (E)</v>
      </c>
      <c r="B146" s="342">
        <f>HLOOKUP($B$142,'FA-18EF Mission System Summary'!$B$1:$F$12,5,FALSE)</f>
        <v>0.39761189761189752</v>
      </c>
    </row>
    <row r="147" spans="1:2" x14ac:dyDescent="0.2">
      <c r="A147" s="341" t="str">
        <f t="shared" si="53"/>
        <v>Ready Survivablity Mission System (F)</v>
      </c>
      <c r="B147" s="342">
        <f>HLOOKUP($B$142,'FA-18EF Mission System Summary'!$B$1:$F$12,6,FALSE)</f>
        <v>0.68590018590018564</v>
      </c>
    </row>
    <row r="148" spans="1:2" x14ac:dyDescent="0.2">
      <c r="A148" s="341" t="str">
        <f t="shared" si="53"/>
        <v>Ready Leathality Mission System (G)</v>
      </c>
      <c r="B148" s="342">
        <f>HLOOKUP($B$142,'FA-18EF Mission System Summary'!$B$1:$F$12,7,FALSE)</f>
        <v>0.6974831974831972</v>
      </c>
    </row>
    <row r="149" spans="1:2" x14ac:dyDescent="0.2">
      <c r="A149" s="341" t="str">
        <f t="shared" si="53"/>
        <v>Ready Combat Communications Mission System (H)</v>
      </c>
      <c r="B149" s="342">
        <f>HLOOKUP($B$142,'FA-18EF Mission System Summary'!$B$1:$F$12,8,FALSE)</f>
        <v>0.6974831974831972</v>
      </c>
    </row>
    <row r="150" spans="1:2" x14ac:dyDescent="0.2">
      <c r="A150" s="341" t="str">
        <f t="shared" si="53"/>
        <v>Ready Air to Air Refueling Mission Systems (I)</v>
      </c>
      <c r="B150" s="342">
        <f>HLOOKUP($B$142,'FA-18EF Mission System Summary'!$B$1:$F$12,9,FALSE)</f>
        <v>0.34949234949234942</v>
      </c>
    </row>
    <row r="151" spans="1:2" x14ac:dyDescent="0.2">
      <c r="A151" s="341" t="str">
        <f t="shared" si="53"/>
        <v>Ready Tactical Navigation Mission Systems (J)</v>
      </c>
      <c r="B151" s="342">
        <f>HLOOKUP($B$142,'FA-18EF Mission System Summary'!$B$1:$F$12,10,FALSE)</f>
        <v>0.74445874445874416</v>
      </c>
    </row>
    <row r="152" spans="1:2" x14ac:dyDescent="0.2">
      <c r="A152" s="341" t="str">
        <f t="shared" si="53"/>
        <v>Ready Shipboard Mission Systems (K)</v>
      </c>
      <c r="B152" s="342">
        <f>HLOOKUP($B$142,'FA-18EF Mission System Summary'!$B$1:$F$12,11,FALSE)</f>
        <v>0.32600457600457594</v>
      </c>
    </row>
    <row r="153" spans="1:2" x14ac:dyDescent="0.2">
      <c r="A153" s="341" t="str">
        <f t="shared" si="53"/>
        <v>Ready IMC Flight Mission Systems (L)</v>
      </c>
      <c r="B153" s="342">
        <f>HLOOKUP($B$142,'FA-18EF Mission System Summary'!$B$1:$F$12,12,FALSE)</f>
        <v>1</v>
      </c>
    </row>
  </sheetData>
  <mergeCells count="15">
    <mergeCell ref="B16:E16"/>
    <mergeCell ref="A1:G1"/>
    <mergeCell ref="M1:P1"/>
    <mergeCell ref="A83:AC83"/>
    <mergeCell ref="R16:W16"/>
    <mergeCell ref="X16:AB16"/>
    <mergeCell ref="F16:J16"/>
    <mergeCell ref="K16:M16"/>
    <mergeCell ref="N16:Q16"/>
    <mergeCell ref="B120:C120"/>
    <mergeCell ref="D120:E120"/>
    <mergeCell ref="F120:G120"/>
    <mergeCell ref="A93:B93"/>
    <mergeCell ref="A94:B94"/>
    <mergeCell ref="A116:B116"/>
  </mergeCells>
  <conditionalFormatting sqref="C135">
    <cfRule type="cellIs" dxfId="292" priority="67" operator="equal">
      <formula>B135</formula>
    </cfRule>
  </conditionalFormatting>
  <conditionalFormatting sqref="D135:E135">
    <cfRule type="cellIs" dxfId="291" priority="70" operator="equal">
      <formula>C135</formula>
    </cfRule>
  </conditionalFormatting>
  <conditionalFormatting sqref="F135">
    <cfRule type="cellIs" dxfId="290" priority="68" operator="equal">
      <formula>E135</formula>
    </cfRule>
    <cfRule type="cellIs" dxfId="289" priority="69" operator="equal">
      <formula>G135</formula>
    </cfRule>
  </conditionalFormatting>
  <conditionalFormatting sqref="F122">
    <cfRule type="cellIs" dxfId="288" priority="65" operator="equal">
      <formula>E122</formula>
    </cfRule>
  </conditionalFormatting>
  <conditionalFormatting sqref="E122">
    <cfRule type="cellIs" dxfId="287" priority="64" operator="equal">
      <formula>D122</formula>
    </cfRule>
  </conditionalFormatting>
  <conditionalFormatting sqref="F122">
    <cfRule type="cellIs" dxfId="286" priority="61" operator="equal">
      <formula>E122</formula>
    </cfRule>
  </conditionalFormatting>
  <conditionalFormatting sqref="C122">
    <cfRule type="cellIs" dxfId="285" priority="62" operator="equal">
      <formula>B122</formula>
    </cfRule>
  </conditionalFormatting>
  <conditionalFormatting sqref="E122">
    <cfRule type="cellIs" dxfId="284" priority="60" operator="equal">
      <formula>D122</formula>
    </cfRule>
  </conditionalFormatting>
  <conditionalFormatting sqref="F122">
    <cfRule type="cellIs" dxfId="283" priority="59" operator="equal">
      <formula>E122</formula>
    </cfRule>
  </conditionalFormatting>
  <conditionalFormatting sqref="C122">
    <cfRule type="cellIs" dxfId="282" priority="58" operator="equal">
      <formula>B122</formula>
    </cfRule>
  </conditionalFormatting>
  <conditionalFormatting sqref="D122">
    <cfRule type="cellIs" dxfId="281" priority="57" operator="equal">
      <formula>C122</formula>
    </cfRule>
  </conditionalFormatting>
  <conditionalFormatting sqref="E122">
    <cfRule type="cellIs" dxfId="280" priority="56" operator="equal">
      <formula>D122</formula>
    </cfRule>
  </conditionalFormatting>
  <conditionalFormatting sqref="C122">
    <cfRule type="cellIs" dxfId="279" priority="54" operator="equal">
      <formula>B122</formula>
    </cfRule>
  </conditionalFormatting>
  <conditionalFormatting sqref="D122:E122">
    <cfRule type="cellIs" dxfId="278" priority="66" operator="equal">
      <formula>C122</formula>
    </cfRule>
  </conditionalFormatting>
  <conditionalFormatting sqref="D122">
    <cfRule type="cellIs" dxfId="277" priority="71" operator="equal">
      <formula>C122</formula>
    </cfRule>
  </conditionalFormatting>
  <conditionalFormatting sqref="C136:C139">
    <cfRule type="cellIs" dxfId="276" priority="44" operator="equal">
      <formula>B136</formula>
    </cfRule>
  </conditionalFormatting>
  <conditionalFormatting sqref="D136:E139">
    <cfRule type="cellIs" dxfId="275" priority="47" operator="equal">
      <formula>C136</formula>
    </cfRule>
  </conditionalFormatting>
  <conditionalFormatting sqref="F136:F139">
    <cfRule type="cellIs" dxfId="274" priority="45" operator="equal">
      <formula>E136</formula>
    </cfRule>
    <cfRule type="cellIs" dxfId="273" priority="46" operator="equal">
      <formula>G136</formula>
    </cfRule>
  </conditionalFormatting>
  <conditionalFormatting sqref="C124">
    <cfRule type="cellIs" dxfId="272" priority="15" operator="equal">
      <formula>B124</formula>
    </cfRule>
  </conditionalFormatting>
  <conditionalFormatting sqref="D124:E124">
    <cfRule type="cellIs" dxfId="271" priority="18" operator="equal">
      <formula>C124</formula>
    </cfRule>
  </conditionalFormatting>
  <conditionalFormatting sqref="F124">
    <cfRule type="cellIs" dxfId="270" priority="16" operator="equal">
      <formula>E124</formula>
    </cfRule>
    <cfRule type="cellIs" dxfId="269" priority="17" operator="equal">
      <formula>G124</formula>
    </cfRule>
  </conditionalFormatting>
  <conditionalFormatting sqref="E123">
    <cfRule type="cellIs" dxfId="268" priority="13" operator="equal">
      <formula>D123</formula>
    </cfRule>
  </conditionalFormatting>
  <conditionalFormatting sqref="E123">
    <cfRule type="cellIs" dxfId="267" priority="11" operator="equal">
      <formula>D123</formula>
    </cfRule>
  </conditionalFormatting>
  <conditionalFormatting sqref="E123">
    <cfRule type="cellIs" dxfId="266" priority="10" operator="equal">
      <formula>D123</formula>
    </cfRule>
  </conditionalFormatting>
  <conditionalFormatting sqref="C123">
    <cfRule type="cellIs" dxfId="265" priority="8" operator="equal">
      <formula>B123</formula>
    </cfRule>
  </conditionalFormatting>
  <conditionalFormatting sqref="D123:E123">
    <cfRule type="cellIs" dxfId="264" priority="14" operator="equal">
      <formula>C123</formula>
    </cfRule>
  </conditionalFormatting>
  <conditionalFormatting sqref="F123">
    <cfRule type="cellIs" dxfId="263" priority="9" operator="equal">
      <formula>E123</formula>
    </cfRule>
    <cfRule type="cellIs" dxfId="262" priority="12" operator="equal">
      <formula>G123</formula>
    </cfRule>
  </conditionalFormatting>
  <conditionalFormatting sqref="D126:D134">
    <cfRule type="cellIs" dxfId="261" priority="5" operator="equal">
      <formula>C126</formula>
    </cfRule>
  </conditionalFormatting>
  <conditionalFormatting sqref="F126:F134">
    <cfRule type="cellIs" dxfId="260" priority="4" operator="equal">
      <formula>G126</formula>
    </cfRule>
    <cfRule type="cellIs" dxfId="259" priority="6" operator="equal">
      <formula>E126</formula>
    </cfRule>
  </conditionalFormatting>
  <conditionalFormatting sqref="C125:C134">
    <cfRule type="cellIs" dxfId="258" priority="3" operator="equal">
      <formula>B125</formula>
    </cfRule>
  </conditionalFormatting>
  <conditionalFormatting sqref="D125:E125 E126:E134">
    <cfRule type="cellIs" dxfId="257" priority="1" operator="equal">
      <formula>C125</formula>
    </cfRule>
  </conditionalFormatting>
  <conditionalFormatting sqref="F125">
    <cfRule type="cellIs" dxfId="256" priority="2" operator="equal">
      <formula>G125</formula>
    </cfRule>
    <cfRule type="cellIs" dxfId="255" priority="7" operator="equal">
      <formula>E125</formula>
    </cfRule>
  </conditionalFormatting>
  <hyperlinks>
    <hyperlink ref="H1" location="Inventory!A1" display="Inventory" xr:uid="{00000000-0004-0000-0300-000000000000}"/>
    <hyperlink ref="H2" location="'VFA (10F) (4 ARS)'!A140" display="AMFOM" xr:uid="{00000000-0004-0000-0300-000001000000}"/>
    <hyperlink ref="I121" location="Inventory!A1" display="Inventory" xr:uid="{00000000-0004-0000-0300-000002000000}"/>
    <hyperlink ref="I120" location="'VFA (10F) (4 ARS)'!A1" display="Top" xr:uid="{00000000-0004-0000-0300-000003000000}"/>
  </hyperlinks>
  <printOptions horizontalCentered="1" verticalCentered="1"/>
  <pageMargins left="0.5" right="0.25" top="0.5" bottom="0.5" header="0.5" footer="0.5"/>
  <pageSetup scale="3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153"/>
  <sheetViews>
    <sheetView showGridLines="0" zoomScaleNormal="100" zoomScaleSheetLayoutView="100" workbookViewId="0">
      <selection sqref="A1:G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30" t="s">
        <v>192</v>
      </c>
      <c r="B1" s="430"/>
      <c r="C1" s="430"/>
      <c r="D1" s="430"/>
      <c r="E1" s="430"/>
      <c r="F1" s="430"/>
      <c r="G1" s="430"/>
      <c r="H1" s="145" t="s">
        <v>40</v>
      </c>
      <c r="K1" s="95"/>
      <c r="L1" s="146" t="s">
        <v>41</v>
      </c>
      <c r="M1" s="441">
        <v>44835</v>
      </c>
      <c r="N1" s="442"/>
      <c r="O1" s="443"/>
      <c r="P1" s="443"/>
      <c r="AC1" s="324" t="s">
        <v>42</v>
      </c>
      <c r="AD1" s="325">
        <v>10.029999999999999</v>
      </c>
    </row>
    <row r="2" spans="1:34" s="4" customFormat="1" ht="12.75" x14ac:dyDescent="0.2">
      <c r="A2" s="2" t="s">
        <v>43</v>
      </c>
      <c r="B2" s="70">
        <v>10</v>
      </c>
      <c r="C2" s="59"/>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71">
        <f>B4/B2</f>
        <v>1.5</v>
      </c>
      <c r="C3" s="59"/>
      <c r="D3" s="3"/>
      <c r="I3" s="3"/>
      <c r="J3" s="3"/>
      <c r="K3" s="3"/>
      <c r="N3" s="5"/>
      <c r="O3" s="5"/>
      <c r="P3" s="5"/>
      <c r="Q3" s="5"/>
      <c r="R3" s="3"/>
      <c r="S3" s="3"/>
      <c r="T3" s="3"/>
      <c r="U3" s="3"/>
      <c r="V3" s="3"/>
      <c r="W3" s="3"/>
      <c r="X3" s="3"/>
      <c r="Y3" s="3"/>
      <c r="Z3" s="3"/>
      <c r="AA3" s="3"/>
      <c r="AB3" s="3"/>
      <c r="AC3" s="100"/>
    </row>
    <row r="4" spans="1:34" s="4" customFormat="1" ht="11.25" x14ac:dyDescent="0.2">
      <c r="A4" s="2" t="s">
        <v>45</v>
      </c>
      <c r="B4" s="70">
        <v>15</v>
      </c>
      <c r="C4" s="59"/>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72">
        <v>1.5</v>
      </c>
      <c r="C5" s="61"/>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72">
        <v>27.5</v>
      </c>
      <c r="C6" s="61"/>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72">
        <f>B6*B4</f>
        <v>412.5</v>
      </c>
      <c r="C7" s="60"/>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70">
        <f>B7/B5</f>
        <v>275</v>
      </c>
      <c r="C8" s="59"/>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72">
        <f>B4*C9</f>
        <v>15</v>
      </c>
      <c r="C9" s="59">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72">
        <f>B4*C10</f>
        <v>93</v>
      </c>
      <c r="C10" s="59">
        <v>6.2</v>
      </c>
      <c r="D10" s="4" t="s">
        <v>51</v>
      </c>
      <c r="E10" s="3"/>
      <c r="F10" s="3"/>
      <c r="G10" s="94" t="s">
        <v>54</v>
      </c>
      <c r="H10" s="93">
        <v>0.26500000000000001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30</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11" t="s">
        <v>65</v>
      </c>
      <c r="C14" s="11" t="s">
        <v>66</v>
      </c>
      <c r="D14" s="11" t="s">
        <v>67</v>
      </c>
      <c r="E14" s="11" t="s">
        <v>68</v>
      </c>
      <c r="F14" s="11" t="s">
        <v>69</v>
      </c>
      <c r="G14" s="11" t="s">
        <v>70</v>
      </c>
      <c r="H14" s="11" t="s">
        <v>71</v>
      </c>
      <c r="I14" s="11" t="s">
        <v>72</v>
      </c>
      <c r="J14" s="11" t="s">
        <v>73</v>
      </c>
      <c r="K14" s="11" t="s">
        <v>74</v>
      </c>
      <c r="L14" s="11" t="s">
        <v>75</v>
      </c>
      <c r="M14" s="11" t="s">
        <v>76</v>
      </c>
      <c r="N14" s="11" t="s">
        <v>77</v>
      </c>
      <c r="O14" s="11" t="s">
        <v>78</v>
      </c>
      <c r="P14" s="11" t="s">
        <v>79</v>
      </c>
      <c r="Q14" s="11" t="s">
        <v>80</v>
      </c>
      <c r="R14" s="11" t="s">
        <v>81</v>
      </c>
      <c r="S14" s="11" t="s">
        <v>82</v>
      </c>
      <c r="T14" s="11" t="s">
        <v>83</v>
      </c>
      <c r="U14" s="11" t="s">
        <v>84</v>
      </c>
      <c r="V14" s="11" t="s">
        <v>85</v>
      </c>
      <c r="W14" s="11" t="s">
        <v>86</v>
      </c>
      <c r="X14" s="11" t="s">
        <v>87</v>
      </c>
      <c r="Y14" s="11" t="s">
        <v>88</v>
      </c>
      <c r="Z14" s="11" t="s">
        <v>89</v>
      </c>
      <c r="AA14" s="11" t="s">
        <v>90</v>
      </c>
      <c r="AB14" s="419" t="s">
        <v>91</v>
      </c>
      <c r="AC14" s="11" t="s">
        <v>92</v>
      </c>
      <c r="AD14" s="12"/>
      <c r="AE14" s="12"/>
      <c r="AF14" s="12"/>
      <c r="AG14" s="12"/>
      <c r="AH14" s="12"/>
    </row>
    <row r="15" spans="1:34" s="13" customFormat="1" x14ac:dyDescent="0.2">
      <c r="A15" s="8" t="s">
        <v>93</v>
      </c>
      <c r="B15" s="11">
        <v>1</v>
      </c>
      <c r="C15" s="11">
        <v>2</v>
      </c>
      <c r="D15" s="11">
        <v>3</v>
      </c>
      <c r="E15" s="11">
        <v>4</v>
      </c>
      <c r="F15" s="11">
        <v>5</v>
      </c>
      <c r="G15" s="11">
        <v>6</v>
      </c>
      <c r="H15" s="11">
        <v>7</v>
      </c>
      <c r="I15" s="11">
        <v>8</v>
      </c>
      <c r="J15" s="11">
        <v>9</v>
      </c>
      <c r="K15" s="11">
        <v>10</v>
      </c>
      <c r="L15" s="11">
        <v>11</v>
      </c>
      <c r="M15" s="11">
        <v>12</v>
      </c>
      <c r="N15" s="11">
        <v>13</v>
      </c>
      <c r="O15" s="11">
        <v>14</v>
      </c>
      <c r="P15" s="11">
        <v>15</v>
      </c>
      <c r="Q15" s="11">
        <v>16</v>
      </c>
      <c r="R15" s="11">
        <v>17</v>
      </c>
      <c r="S15" s="11">
        <v>18</v>
      </c>
      <c r="T15" s="11">
        <v>19</v>
      </c>
      <c r="U15" s="11">
        <v>20</v>
      </c>
      <c r="V15" s="11">
        <v>21</v>
      </c>
      <c r="W15" s="11">
        <v>22</v>
      </c>
      <c r="X15" s="11">
        <v>23</v>
      </c>
      <c r="Y15" s="11">
        <v>24</v>
      </c>
      <c r="Z15" s="11">
        <v>25</v>
      </c>
      <c r="AA15" s="11">
        <v>26</v>
      </c>
      <c r="AB15" s="419">
        <v>27</v>
      </c>
      <c r="AC15" s="11">
        <v>28</v>
      </c>
      <c r="AD15" s="12"/>
      <c r="AE15" s="12"/>
      <c r="AF15" s="12"/>
      <c r="AG15" s="12"/>
      <c r="AH15" s="12"/>
    </row>
    <row r="16" spans="1:34" x14ac:dyDescent="0.2">
      <c r="A16" s="8" t="s">
        <v>94</v>
      </c>
      <c r="B16" s="444" t="s">
        <v>95</v>
      </c>
      <c r="C16" s="445"/>
      <c r="D16" s="445"/>
      <c r="E16" s="446"/>
      <c r="F16" s="444" t="s">
        <v>96</v>
      </c>
      <c r="G16" s="445"/>
      <c r="H16" s="445"/>
      <c r="I16" s="445"/>
      <c r="J16" s="446"/>
      <c r="K16" s="444" t="s">
        <v>97</v>
      </c>
      <c r="L16" s="445"/>
      <c r="M16" s="446"/>
      <c r="N16" s="444" t="s">
        <v>61</v>
      </c>
      <c r="O16" s="445"/>
      <c r="P16" s="445"/>
      <c r="Q16" s="446"/>
      <c r="R16" s="444" t="s">
        <v>98</v>
      </c>
      <c r="S16" s="445"/>
      <c r="T16" s="445"/>
      <c r="U16" s="445"/>
      <c r="V16" s="445"/>
      <c r="W16" s="446"/>
      <c r="X16" s="444" t="s">
        <v>99</v>
      </c>
      <c r="Y16" s="445"/>
      <c r="Z16" s="445"/>
      <c r="AA16" s="445"/>
      <c r="AB16" s="445"/>
      <c r="AC16" s="11" t="s">
        <v>100</v>
      </c>
      <c r="AD16" s="14"/>
      <c r="AE16" s="14"/>
      <c r="AF16" s="14"/>
      <c r="AG16" s="14"/>
      <c r="AH16" s="14"/>
    </row>
    <row r="17" spans="1:34" ht="12.75" x14ac:dyDescent="0.2">
      <c r="A17" s="96" t="s">
        <v>101</v>
      </c>
      <c r="B17" s="16"/>
      <c r="C17" s="17"/>
      <c r="D17" s="17"/>
      <c r="E17" s="17"/>
      <c r="F17" s="17"/>
      <c r="G17" s="17"/>
      <c r="H17" s="17"/>
      <c r="I17" s="17"/>
      <c r="J17" s="17"/>
      <c r="K17" s="17"/>
      <c r="L17" s="17"/>
      <c r="M17" s="17"/>
      <c r="N17" s="17"/>
      <c r="O17" s="17"/>
      <c r="P17" s="17"/>
      <c r="Q17" s="17"/>
      <c r="R17" s="17"/>
      <c r="S17" s="17"/>
      <c r="T17" s="18"/>
      <c r="U17" s="17"/>
      <c r="V17" s="17"/>
      <c r="W17" s="17"/>
      <c r="X17" s="17"/>
      <c r="Y17" s="17"/>
      <c r="Z17" s="17"/>
      <c r="AA17" s="17"/>
      <c r="AB17" s="17"/>
      <c r="AC17" s="19"/>
      <c r="AD17" s="14"/>
      <c r="AE17" s="14"/>
      <c r="AF17" s="14"/>
      <c r="AG17" s="14"/>
      <c r="AH17" s="14"/>
    </row>
    <row r="18" spans="1:34" s="97" customFormat="1" x14ac:dyDescent="0.2">
      <c r="A18" s="133"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19"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x14ac:dyDescent="0.2">
      <c r="A20" s="177" t="s">
        <v>104</v>
      </c>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5"/>
      <c r="AD20" s="21"/>
      <c r="AE20" s="21"/>
      <c r="AF20" s="22"/>
      <c r="AG20" s="12"/>
      <c r="AH20" s="23"/>
    </row>
    <row r="21" spans="1:34" s="27" customFormat="1" x14ac:dyDescent="0.2">
      <c r="A21" s="24" t="s">
        <v>105</v>
      </c>
      <c r="B21" s="179">
        <f t="shared" ref="B21:AC21" si="1">B19*$B$8</f>
        <v>137.5</v>
      </c>
      <c r="C21" s="179">
        <f t="shared" si="1"/>
        <v>137.5</v>
      </c>
      <c r="D21" s="179">
        <f t="shared" si="1"/>
        <v>137.5</v>
      </c>
      <c r="E21" s="179">
        <f t="shared" si="1"/>
        <v>137.5</v>
      </c>
      <c r="F21" s="179">
        <f t="shared" si="1"/>
        <v>137.5</v>
      </c>
      <c r="G21" s="179">
        <f t="shared" si="1"/>
        <v>137.5</v>
      </c>
      <c r="H21" s="179">
        <f t="shared" si="1"/>
        <v>151.25</v>
      </c>
      <c r="I21" s="179">
        <f t="shared" si="1"/>
        <v>165</v>
      </c>
      <c r="J21" s="179">
        <f t="shared" si="1"/>
        <v>178.75</v>
      </c>
      <c r="K21" s="179">
        <f t="shared" si="1"/>
        <v>192.5</v>
      </c>
      <c r="L21" s="179">
        <f t="shared" si="1"/>
        <v>192.5</v>
      </c>
      <c r="M21" s="179">
        <f t="shared" si="1"/>
        <v>192.5</v>
      </c>
      <c r="N21" s="179">
        <f t="shared" si="1"/>
        <v>192.5</v>
      </c>
      <c r="O21" s="179">
        <f t="shared" si="1"/>
        <v>192.5</v>
      </c>
      <c r="P21" s="179">
        <f t="shared" si="1"/>
        <v>192.5</v>
      </c>
      <c r="Q21" s="179">
        <f t="shared" si="1"/>
        <v>110</v>
      </c>
      <c r="R21" s="179">
        <f t="shared" si="1"/>
        <v>220</v>
      </c>
      <c r="S21" s="179">
        <f t="shared" si="1"/>
        <v>220</v>
      </c>
      <c r="T21" s="179">
        <f t="shared" si="1"/>
        <v>220</v>
      </c>
      <c r="U21" s="179">
        <f t="shared" si="1"/>
        <v>220</v>
      </c>
      <c r="V21" s="179">
        <f t="shared" si="1"/>
        <v>220</v>
      </c>
      <c r="W21" s="179">
        <f t="shared" si="1"/>
        <v>192.5</v>
      </c>
      <c r="X21" s="179">
        <f t="shared" si="1"/>
        <v>110</v>
      </c>
      <c r="Y21" s="179">
        <f t="shared" si="1"/>
        <v>165</v>
      </c>
      <c r="Z21" s="179">
        <f t="shared" si="1"/>
        <v>165</v>
      </c>
      <c r="AA21" s="179">
        <f t="shared" si="1"/>
        <v>165</v>
      </c>
      <c r="AB21" s="188">
        <f t="shared" si="1"/>
        <v>165</v>
      </c>
      <c r="AC21" s="25">
        <f t="shared" si="1"/>
        <v>110</v>
      </c>
      <c r="AD21" s="26"/>
      <c r="AE21" s="26"/>
      <c r="AF21" s="26"/>
      <c r="AG21" s="26"/>
      <c r="AH21" s="26"/>
    </row>
    <row r="22" spans="1:34" s="30" customFormat="1" x14ac:dyDescent="0.2">
      <c r="A22" s="24" t="s">
        <v>106</v>
      </c>
      <c r="B22" s="28">
        <f t="shared" ref="B22:AC22" si="2">B21*$B$5</f>
        <v>206.25</v>
      </c>
      <c r="C22" s="28">
        <f t="shared" si="2"/>
        <v>206.25</v>
      </c>
      <c r="D22" s="28">
        <f t="shared" si="2"/>
        <v>206.25</v>
      </c>
      <c r="E22" s="28">
        <f t="shared" si="2"/>
        <v>206.25</v>
      </c>
      <c r="F22" s="28">
        <f t="shared" si="2"/>
        <v>206.25</v>
      </c>
      <c r="G22" s="28">
        <f t="shared" si="2"/>
        <v>206.25</v>
      </c>
      <c r="H22" s="28">
        <f t="shared" si="2"/>
        <v>226.875</v>
      </c>
      <c r="I22" s="28">
        <f t="shared" si="2"/>
        <v>247.5</v>
      </c>
      <c r="J22" s="28">
        <f t="shared" si="2"/>
        <v>268.125</v>
      </c>
      <c r="K22" s="28">
        <f t="shared" si="2"/>
        <v>288.75</v>
      </c>
      <c r="L22" s="28">
        <f t="shared" si="2"/>
        <v>288.75</v>
      </c>
      <c r="M22" s="28">
        <f t="shared" si="2"/>
        <v>288.75</v>
      </c>
      <c r="N22" s="28">
        <f t="shared" si="2"/>
        <v>288.75</v>
      </c>
      <c r="O22" s="28">
        <f t="shared" si="2"/>
        <v>288.75</v>
      </c>
      <c r="P22" s="28">
        <f t="shared" si="2"/>
        <v>288.75</v>
      </c>
      <c r="Q22" s="28">
        <f t="shared" si="2"/>
        <v>165</v>
      </c>
      <c r="R22" s="28">
        <f t="shared" si="2"/>
        <v>330</v>
      </c>
      <c r="S22" s="28">
        <f t="shared" si="2"/>
        <v>330</v>
      </c>
      <c r="T22" s="28">
        <f t="shared" si="2"/>
        <v>330</v>
      </c>
      <c r="U22" s="28">
        <f t="shared" si="2"/>
        <v>330</v>
      </c>
      <c r="V22" s="28">
        <f t="shared" si="2"/>
        <v>330</v>
      </c>
      <c r="W22" s="28">
        <f t="shared" si="2"/>
        <v>288.75</v>
      </c>
      <c r="X22" s="28">
        <f t="shared" si="2"/>
        <v>165</v>
      </c>
      <c r="Y22" s="28">
        <f t="shared" si="2"/>
        <v>247.5</v>
      </c>
      <c r="Z22" s="28">
        <f t="shared" si="2"/>
        <v>247.5</v>
      </c>
      <c r="AA22" s="28">
        <f t="shared" si="2"/>
        <v>247.5</v>
      </c>
      <c r="AB22" s="175">
        <f t="shared" si="2"/>
        <v>247.5</v>
      </c>
      <c r="AC22" s="28">
        <f t="shared" si="2"/>
        <v>165</v>
      </c>
      <c r="AD22" s="29"/>
      <c r="AE22" s="29"/>
      <c r="AF22" s="29"/>
      <c r="AG22" s="29"/>
      <c r="AH22" s="29"/>
    </row>
    <row r="23" spans="1:34" s="30" customFormat="1" x14ac:dyDescent="0.2">
      <c r="A23" s="24" t="s">
        <v>107</v>
      </c>
      <c r="B23" s="101">
        <f>$B$9</f>
        <v>15</v>
      </c>
      <c r="C23" s="101">
        <f t="shared" ref="C23:AC23" si="3">$B$9</f>
        <v>15</v>
      </c>
      <c r="D23" s="101">
        <f t="shared" si="3"/>
        <v>15</v>
      </c>
      <c r="E23" s="101">
        <f t="shared" si="3"/>
        <v>15</v>
      </c>
      <c r="F23" s="101">
        <f t="shared" si="3"/>
        <v>15</v>
      </c>
      <c r="G23" s="101">
        <f t="shared" si="3"/>
        <v>15</v>
      </c>
      <c r="H23" s="101">
        <f t="shared" si="3"/>
        <v>15</v>
      </c>
      <c r="I23" s="101">
        <f t="shared" si="3"/>
        <v>15</v>
      </c>
      <c r="J23" s="101">
        <f t="shared" si="3"/>
        <v>15</v>
      </c>
      <c r="K23" s="101">
        <f t="shared" si="3"/>
        <v>15</v>
      </c>
      <c r="L23" s="101">
        <f t="shared" si="3"/>
        <v>15</v>
      </c>
      <c r="M23" s="101">
        <f t="shared" si="3"/>
        <v>15</v>
      </c>
      <c r="N23" s="101">
        <f t="shared" si="3"/>
        <v>15</v>
      </c>
      <c r="O23" s="101">
        <f t="shared" si="3"/>
        <v>15</v>
      </c>
      <c r="P23" s="101">
        <f t="shared" si="3"/>
        <v>15</v>
      </c>
      <c r="Q23" s="101">
        <f t="shared" si="3"/>
        <v>15</v>
      </c>
      <c r="R23" s="101">
        <f t="shared" si="3"/>
        <v>15</v>
      </c>
      <c r="S23" s="101">
        <f t="shared" si="3"/>
        <v>15</v>
      </c>
      <c r="T23" s="101">
        <f t="shared" si="3"/>
        <v>15</v>
      </c>
      <c r="U23" s="101">
        <f t="shared" si="3"/>
        <v>15</v>
      </c>
      <c r="V23" s="101">
        <f t="shared" si="3"/>
        <v>15</v>
      </c>
      <c r="W23" s="101">
        <f t="shared" si="3"/>
        <v>15</v>
      </c>
      <c r="X23" s="101">
        <f t="shared" si="3"/>
        <v>15</v>
      </c>
      <c r="Y23" s="101">
        <f t="shared" si="3"/>
        <v>15</v>
      </c>
      <c r="Z23" s="101">
        <f t="shared" si="3"/>
        <v>15</v>
      </c>
      <c r="AA23" s="101">
        <f t="shared" si="3"/>
        <v>15</v>
      </c>
      <c r="AB23" s="189">
        <f t="shared" si="3"/>
        <v>15</v>
      </c>
      <c r="AC23" s="101">
        <f t="shared" si="3"/>
        <v>15</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93</v>
      </c>
      <c r="K24" s="101">
        <f t="shared" si="4"/>
        <v>0</v>
      </c>
      <c r="L24" s="101">
        <f t="shared" si="4"/>
        <v>93</v>
      </c>
      <c r="M24" s="101">
        <f t="shared" si="4"/>
        <v>93</v>
      </c>
      <c r="N24" s="101">
        <f t="shared" si="4"/>
        <v>0</v>
      </c>
      <c r="O24" s="101">
        <f t="shared" si="4"/>
        <v>0</v>
      </c>
      <c r="P24" s="101">
        <f t="shared" si="4"/>
        <v>93</v>
      </c>
      <c r="Q24" s="101">
        <f t="shared" si="4"/>
        <v>0</v>
      </c>
      <c r="R24" s="101">
        <f t="shared" si="4"/>
        <v>93</v>
      </c>
      <c r="S24" s="101">
        <f t="shared" si="4"/>
        <v>93</v>
      </c>
      <c r="T24" s="101">
        <f t="shared" si="4"/>
        <v>93</v>
      </c>
      <c r="U24" s="101">
        <f t="shared" si="4"/>
        <v>93</v>
      </c>
      <c r="V24" s="101">
        <f t="shared" si="4"/>
        <v>93</v>
      </c>
      <c r="W24" s="101">
        <f t="shared" si="4"/>
        <v>93</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221.25</v>
      </c>
      <c r="C25" s="28">
        <f t="shared" si="5"/>
        <v>221.25</v>
      </c>
      <c r="D25" s="28">
        <f t="shared" si="5"/>
        <v>221.25</v>
      </c>
      <c r="E25" s="28">
        <f t="shared" si="5"/>
        <v>221.25</v>
      </c>
      <c r="F25" s="28">
        <f t="shared" si="5"/>
        <v>221.25</v>
      </c>
      <c r="G25" s="28">
        <f t="shared" si="5"/>
        <v>221.25</v>
      </c>
      <c r="H25" s="28">
        <f t="shared" si="5"/>
        <v>241.875</v>
      </c>
      <c r="I25" s="28">
        <f t="shared" si="5"/>
        <v>262.5</v>
      </c>
      <c r="J25" s="28">
        <f t="shared" si="5"/>
        <v>376.125</v>
      </c>
      <c r="K25" s="28">
        <f t="shared" si="5"/>
        <v>303.75</v>
      </c>
      <c r="L25" s="28">
        <f t="shared" si="5"/>
        <v>396.75</v>
      </c>
      <c r="M25" s="28">
        <f t="shared" si="5"/>
        <v>396.75</v>
      </c>
      <c r="N25" s="28">
        <f t="shared" si="5"/>
        <v>303.75</v>
      </c>
      <c r="O25" s="28">
        <f t="shared" si="5"/>
        <v>303.75</v>
      </c>
      <c r="P25" s="28">
        <f t="shared" si="5"/>
        <v>396.75</v>
      </c>
      <c r="Q25" s="28">
        <f t="shared" si="5"/>
        <v>180</v>
      </c>
      <c r="R25" s="28">
        <f t="shared" si="5"/>
        <v>438</v>
      </c>
      <c r="S25" s="28">
        <f t="shared" si="5"/>
        <v>438</v>
      </c>
      <c r="T25" s="28">
        <f t="shared" si="5"/>
        <v>438</v>
      </c>
      <c r="U25" s="28">
        <f t="shared" si="5"/>
        <v>438</v>
      </c>
      <c r="V25" s="28">
        <f t="shared" si="5"/>
        <v>438</v>
      </c>
      <c r="W25" s="28">
        <f t="shared" si="5"/>
        <v>396.75</v>
      </c>
      <c r="X25" s="28">
        <f t="shared" si="5"/>
        <v>180</v>
      </c>
      <c r="Y25" s="28">
        <f t="shared" si="5"/>
        <v>262.5</v>
      </c>
      <c r="Z25" s="28">
        <f t="shared" si="5"/>
        <v>262.5</v>
      </c>
      <c r="AA25" s="28">
        <f t="shared" si="5"/>
        <v>262.5</v>
      </c>
      <c r="AB25" s="175">
        <f t="shared" si="5"/>
        <v>262.5</v>
      </c>
      <c r="AC25" s="28">
        <f t="shared" si="5"/>
        <v>180</v>
      </c>
      <c r="AD25" s="29"/>
      <c r="AE25" s="29"/>
      <c r="AF25" s="29"/>
      <c r="AG25" s="29"/>
      <c r="AH25" s="29"/>
    </row>
    <row r="26" spans="1:34" s="30" customFormat="1" x14ac:dyDescent="0.2">
      <c r="A26" s="31" t="s">
        <v>110</v>
      </c>
      <c r="B26" s="32">
        <f t="shared" ref="B26:AB26" si="6">-IF(ISBLANK(B117),0,MIN(B$22*$H$10,B$22-$B$7*$H$9))</f>
        <v>-41.25</v>
      </c>
      <c r="C26" s="32">
        <f t="shared" si="6"/>
        <v>-41.25</v>
      </c>
      <c r="D26" s="32">
        <f t="shared" si="6"/>
        <v>-41.25</v>
      </c>
      <c r="E26" s="32">
        <f t="shared" si="6"/>
        <v>0</v>
      </c>
      <c r="F26" s="32">
        <f t="shared" si="6"/>
        <v>-41.25</v>
      </c>
      <c r="G26" s="32">
        <f t="shared" si="6"/>
        <v>-41.25</v>
      </c>
      <c r="H26" s="32">
        <f t="shared" si="6"/>
        <v>-60.121875000000003</v>
      </c>
      <c r="I26" s="32">
        <f t="shared" si="6"/>
        <v>-65.587500000000006</v>
      </c>
      <c r="J26" s="32">
        <f t="shared" si="6"/>
        <v>0</v>
      </c>
      <c r="K26" s="32">
        <f t="shared" si="6"/>
        <v>0</v>
      </c>
      <c r="L26" s="32">
        <f t="shared" si="6"/>
        <v>0</v>
      </c>
      <c r="M26" s="32">
        <f t="shared" si="6"/>
        <v>0</v>
      </c>
      <c r="N26" s="32">
        <f t="shared" si="6"/>
        <v>-76.518749999999997</v>
      </c>
      <c r="O26" s="32">
        <f t="shared" si="6"/>
        <v>-76.518749999999997</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-65.587500000000006</v>
      </c>
      <c r="Z26" s="32">
        <f t="shared" si="6"/>
        <v>-65.587500000000006</v>
      </c>
      <c r="AA26" s="32">
        <f t="shared" si="6"/>
        <v>-65.587500000000006</v>
      </c>
      <c r="AB26" s="172">
        <f t="shared" si="6"/>
        <v>-65.587500000000006</v>
      </c>
      <c r="AC26" s="28">
        <f>-IF(ISBLANK(AC105),0,MIN(AC$22*$H$10,AC$22-$B$7*$H$9))</f>
        <v>0</v>
      </c>
      <c r="AD26" s="29"/>
      <c r="AE26" s="29"/>
      <c r="AF26" s="29"/>
      <c r="AG26" s="29"/>
      <c r="AH26" s="29"/>
    </row>
    <row r="27" spans="1:34" s="30" customFormat="1" x14ac:dyDescent="0.2">
      <c r="A27" s="24" t="s">
        <v>111</v>
      </c>
      <c r="B27" s="32">
        <f t="shared" ref="B27:AB27" si="7">SUM(B25:B26)</f>
        <v>180</v>
      </c>
      <c r="C27" s="32">
        <f t="shared" si="7"/>
        <v>180</v>
      </c>
      <c r="D27" s="32">
        <f t="shared" si="7"/>
        <v>180</v>
      </c>
      <c r="E27" s="32">
        <f t="shared" si="7"/>
        <v>221.25</v>
      </c>
      <c r="F27" s="32">
        <f t="shared" si="7"/>
        <v>180</v>
      </c>
      <c r="G27" s="32">
        <f t="shared" si="7"/>
        <v>180</v>
      </c>
      <c r="H27" s="32">
        <f t="shared" si="7"/>
        <v>181.75312500000001</v>
      </c>
      <c r="I27" s="32">
        <f t="shared" si="7"/>
        <v>196.91249999999999</v>
      </c>
      <c r="J27" s="32">
        <f t="shared" si="7"/>
        <v>376.125</v>
      </c>
      <c r="K27" s="32">
        <f t="shared" si="7"/>
        <v>303.75</v>
      </c>
      <c r="L27" s="32">
        <f t="shared" si="7"/>
        <v>396.75</v>
      </c>
      <c r="M27" s="32">
        <f t="shared" si="7"/>
        <v>396.75</v>
      </c>
      <c r="N27" s="32">
        <f t="shared" si="7"/>
        <v>227.23124999999999</v>
      </c>
      <c r="O27" s="32">
        <f t="shared" si="7"/>
        <v>227.23124999999999</v>
      </c>
      <c r="P27" s="32">
        <f t="shared" si="7"/>
        <v>396.75</v>
      </c>
      <c r="Q27" s="32">
        <f t="shared" si="7"/>
        <v>180</v>
      </c>
      <c r="R27" s="32">
        <f t="shared" si="7"/>
        <v>438</v>
      </c>
      <c r="S27" s="32">
        <f t="shared" si="7"/>
        <v>438</v>
      </c>
      <c r="T27" s="32">
        <f t="shared" si="7"/>
        <v>438</v>
      </c>
      <c r="U27" s="32">
        <f t="shared" si="7"/>
        <v>438</v>
      </c>
      <c r="V27" s="32">
        <f t="shared" si="7"/>
        <v>438</v>
      </c>
      <c r="W27" s="32">
        <f t="shared" si="7"/>
        <v>396.75</v>
      </c>
      <c r="X27" s="32">
        <f t="shared" si="7"/>
        <v>180</v>
      </c>
      <c r="Y27" s="32">
        <f t="shared" si="7"/>
        <v>196.91249999999999</v>
      </c>
      <c r="Z27" s="32">
        <f t="shared" si="7"/>
        <v>196.91249999999999</v>
      </c>
      <c r="AA27" s="32">
        <f t="shared" si="7"/>
        <v>196.91249999999999</v>
      </c>
      <c r="AB27" s="172">
        <f t="shared" si="7"/>
        <v>196.91249999999999</v>
      </c>
      <c r="AC27" s="28">
        <f>SUM(AC25:AC26)</f>
        <v>180</v>
      </c>
      <c r="AD27" s="29"/>
      <c r="AE27" s="29"/>
      <c r="AF27" s="29"/>
      <c r="AG27" s="29"/>
      <c r="AH27" s="29"/>
    </row>
    <row r="28" spans="1:34" s="30" customFormat="1" x14ac:dyDescent="0.2">
      <c r="A28" s="31" t="s">
        <v>112</v>
      </c>
      <c r="B28" s="32">
        <f>AVERAGE(AA22:AB22,B22)</f>
        <v>233.75</v>
      </c>
      <c r="C28" s="32">
        <f>AVERAGE(AB22,B22:C22)</f>
        <v>220</v>
      </c>
      <c r="D28" s="32">
        <f t="shared" ref="D28:AB28" si="8">AVERAGE(B22:D22)</f>
        <v>206.25</v>
      </c>
      <c r="E28" s="32">
        <f t="shared" si="8"/>
        <v>206.25</v>
      </c>
      <c r="F28" s="32">
        <f t="shared" si="8"/>
        <v>206.25</v>
      </c>
      <c r="G28" s="32">
        <f t="shared" si="8"/>
        <v>206.25</v>
      </c>
      <c r="H28" s="32">
        <f t="shared" si="8"/>
        <v>213.125</v>
      </c>
      <c r="I28" s="32">
        <f t="shared" si="8"/>
        <v>226.875</v>
      </c>
      <c r="J28" s="32">
        <f t="shared" si="8"/>
        <v>247.5</v>
      </c>
      <c r="K28" s="32">
        <f t="shared" si="8"/>
        <v>268.125</v>
      </c>
      <c r="L28" s="32">
        <f t="shared" si="8"/>
        <v>281.875</v>
      </c>
      <c r="M28" s="32">
        <f t="shared" si="8"/>
        <v>288.75</v>
      </c>
      <c r="N28" s="32">
        <f t="shared" si="8"/>
        <v>288.75</v>
      </c>
      <c r="O28" s="32">
        <f t="shared" si="8"/>
        <v>288.75</v>
      </c>
      <c r="P28" s="32">
        <f t="shared" si="8"/>
        <v>288.75</v>
      </c>
      <c r="Q28" s="32">
        <f t="shared" si="8"/>
        <v>247.5</v>
      </c>
      <c r="R28" s="32">
        <f t="shared" si="8"/>
        <v>261.25</v>
      </c>
      <c r="S28" s="32">
        <f t="shared" si="8"/>
        <v>275</v>
      </c>
      <c r="T28" s="32">
        <f t="shared" si="8"/>
        <v>330</v>
      </c>
      <c r="U28" s="32">
        <f t="shared" si="8"/>
        <v>330</v>
      </c>
      <c r="V28" s="32">
        <f t="shared" si="8"/>
        <v>330</v>
      </c>
      <c r="W28" s="32">
        <f t="shared" si="8"/>
        <v>316.25</v>
      </c>
      <c r="X28" s="32">
        <f t="shared" si="8"/>
        <v>261.25</v>
      </c>
      <c r="Y28" s="32">
        <f t="shared" si="8"/>
        <v>233.75</v>
      </c>
      <c r="Z28" s="32">
        <f t="shared" si="8"/>
        <v>220</v>
      </c>
      <c r="AA28" s="32">
        <f t="shared" si="8"/>
        <v>247.5</v>
      </c>
      <c r="AB28" s="172">
        <f t="shared" si="8"/>
        <v>247.5</v>
      </c>
      <c r="AC28" s="28">
        <f>SUM(AC25:AC26)</f>
        <v>180</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30</v>
      </c>
      <c r="C30" s="32">
        <f t="shared" si="9"/>
        <v>30</v>
      </c>
      <c r="D30" s="32">
        <f t="shared" si="9"/>
        <v>30</v>
      </c>
      <c r="E30" s="32">
        <f t="shared" si="9"/>
        <v>0</v>
      </c>
      <c r="F30" s="32">
        <f t="shared" si="9"/>
        <v>30</v>
      </c>
      <c r="G30" s="32">
        <f t="shared" si="9"/>
        <v>30</v>
      </c>
      <c r="H30" s="32">
        <f t="shared" si="9"/>
        <v>30</v>
      </c>
      <c r="I30" s="32">
        <f t="shared" si="9"/>
        <v>30</v>
      </c>
      <c r="J30" s="32">
        <f t="shared" si="9"/>
        <v>0</v>
      </c>
      <c r="K30" s="32">
        <f t="shared" si="9"/>
        <v>0</v>
      </c>
      <c r="L30" s="32">
        <f t="shared" si="9"/>
        <v>0</v>
      </c>
      <c r="M30" s="32">
        <f t="shared" si="9"/>
        <v>0</v>
      </c>
      <c r="N30" s="32">
        <f t="shared" si="9"/>
        <v>30</v>
      </c>
      <c r="O30" s="32">
        <f t="shared" si="9"/>
        <v>30</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30</v>
      </c>
      <c r="Z30" s="32">
        <f t="shared" si="9"/>
        <v>30</v>
      </c>
      <c r="AA30" s="32">
        <f t="shared" si="9"/>
        <v>30</v>
      </c>
      <c r="AB30" s="172">
        <f t="shared" si="9"/>
        <v>30</v>
      </c>
      <c r="AC30" s="28">
        <f t="shared" si="9"/>
        <v>30</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v>
      </c>
      <c r="C34" s="36">
        <f t="shared" ref="C34:AC34" si="11">((C36*$B$143)/$B$2)</f>
        <v>0.455829162495829</v>
      </c>
      <c r="D34" s="36">
        <f t="shared" si="11"/>
        <v>0.455829162495829</v>
      </c>
      <c r="E34" s="36">
        <f t="shared" si="11"/>
        <v>0.455829162495829</v>
      </c>
      <c r="F34" s="36">
        <f t="shared" si="11"/>
        <v>0.455829162495829</v>
      </c>
      <c r="G34" s="36">
        <f t="shared" si="11"/>
        <v>0.455829162495829</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v>
      </c>
      <c r="AD34" s="26"/>
      <c r="AE34" s="26"/>
      <c r="AF34" s="26"/>
      <c r="AG34" s="26"/>
      <c r="AH34" s="26"/>
    </row>
    <row r="35" spans="1:34" s="30" customFormat="1" x14ac:dyDescent="0.2">
      <c r="A35" s="24" t="s">
        <v>119</v>
      </c>
      <c r="B35" s="132">
        <f t="shared" ref="B35:AC35" si="12">ROUND($B$2*B$32,2)</f>
        <v>7</v>
      </c>
      <c r="C35" s="132">
        <f t="shared" si="12"/>
        <v>7</v>
      </c>
      <c r="D35" s="132">
        <f t="shared" si="12"/>
        <v>7</v>
      </c>
      <c r="E35" s="132">
        <f t="shared" si="12"/>
        <v>7</v>
      </c>
      <c r="F35" s="132">
        <f t="shared" si="12"/>
        <v>7</v>
      </c>
      <c r="G35" s="132">
        <f t="shared" si="12"/>
        <v>7</v>
      </c>
      <c r="H35" s="132">
        <f t="shared" si="12"/>
        <v>8</v>
      </c>
      <c r="I35" s="132">
        <f t="shared" si="12"/>
        <v>8</v>
      </c>
      <c r="J35" s="132">
        <f t="shared" si="12"/>
        <v>8</v>
      </c>
      <c r="K35" s="132">
        <f t="shared" si="12"/>
        <v>9</v>
      </c>
      <c r="L35" s="132">
        <f t="shared" si="12"/>
        <v>9</v>
      </c>
      <c r="M35" s="132">
        <f t="shared" si="12"/>
        <v>9</v>
      </c>
      <c r="N35" s="132">
        <f t="shared" si="12"/>
        <v>10</v>
      </c>
      <c r="O35" s="132">
        <f t="shared" si="12"/>
        <v>10</v>
      </c>
      <c r="P35" s="132">
        <f t="shared" si="12"/>
        <v>10</v>
      </c>
      <c r="Q35" s="132">
        <f t="shared" si="12"/>
        <v>10</v>
      </c>
      <c r="R35" s="132">
        <f t="shared" si="12"/>
        <v>10</v>
      </c>
      <c r="S35" s="132">
        <f t="shared" si="12"/>
        <v>10</v>
      </c>
      <c r="T35" s="132">
        <f t="shared" si="12"/>
        <v>10</v>
      </c>
      <c r="U35" s="132">
        <f t="shared" si="12"/>
        <v>10</v>
      </c>
      <c r="V35" s="132">
        <f t="shared" si="12"/>
        <v>10</v>
      </c>
      <c r="W35" s="132">
        <f t="shared" si="12"/>
        <v>10</v>
      </c>
      <c r="X35" s="132">
        <f t="shared" si="12"/>
        <v>10</v>
      </c>
      <c r="Y35" s="132">
        <f t="shared" si="12"/>
        <v>10</v>
      </c>
      <c r="Z35" s="132">
        <f t="shared" si="12"/>
        <v>10</v>
      </c>
      <c r="AA35" s="132">
        <f t="shared" si="12"/>
        <v>10</v>
      </c>
      <c r="AB35" s="192">
        <f t="shared" si="12"/>
        <v>10</v>
      </c>
      <c r="AC35" s="132">
        <f t="shared" si="12"/>
        <v>7</v>
      </c>
      <c r="AD35" s="26"/>
      <c r="AE35" s="26"/>
      <c r="AF35" s="26"/>
      <c r="AG35" s="26"/>
      <c r="AH35" s="26"/>
    </row>
    <row r="36" spans="1:34" x14ac:dyDescent="0.2">
      <c r="A36" s="24" t="s">
        <v>120</v>
      </c>
      <c r="B36" s="132">
        <f t="shared" ref="B36:AC36" si="13">ROUND($B$2*B$33,2)</f>
        <v>5.6</v>
      </c>
      <c r="C36" s="132">
        <f t="shared" si="13"/>
        <v>5.6</v>
      </c>
      <c r="D36" s="132">
        <f t="shared" si="13"/>
        <v>5.6</v>
      </c>
      <c r="E36" s="132">
        <f t="shared" si="13"/>
        <v>5.6</v>
      </c>
      <c r="F36" s="132">
        <f t="shared" si="13"/>
        <v>5.6</v>
      </c>
      <c r="G36" s="132">
        <f t="shared" si="13"/>
        <v>5.6</v>
      </c>
      <c r="H36" s="132">
        <f t="shared" si="13"/>
        <v>6.4</v>
      </c>
      <c r="I36" s="132">
        <f t="shared" si="13"/>
        <v>6.4</v>
      </c>
      <c r="J36" s="132">
        <f t="shared" si="13"/>
        <v>6.4</v>
      </c>
      <c r="K36" s="132">
        <f t="shared" si="13"/>
        <v>7.2</v>
      </c>
      <c r="L36" s="132">
        <f t="shared" si="13"/>
        <v>7.2</v>
      </c>
      <c r="M36" s="132">
        <f t="shared" si="13"/>
        <v>7.2</v>
      </c>
      <c r="N36" s="132">
        <f t="shared" si="13"/>
        <v>8</v>
      </c>
      <c r="O36" s="132">
        <f t="shared" si="13"/>
        <v>8</v>
      </c>
      <c r="P36" s="132">
        <f t="shared" si="13"/>
        <v>8</v>
      </c>
      <c r="Q36" s="132">
        <f t="shared" si="13"/>
        <v>8</v>
      </c>
      <c r="R36" s="132">
        <f t="shared" si="13"/>
        <v>8</v>
      </c>
      <c r="S36" s="132">
        <f t="shared" si="13"/>
        <v>8</v>
      </c>
      <c r="T36" s="132">
        <f t="shared" si="13"/>
        <v>8</v>
      </c>
      <c r="U36" s="132">
        <f t="shared" si="13"/>
        <v>8</v>
      </c>
      <c r="V36" s="132">
        <f t="shared" si="13"/>
        <v>8</v>
      </c>
      <c r="W36" s="132">
        <f t="shared" si="13"/>
        <v>8</v>
      </c>
      <c r="X36" s="132">
        <f t="shared" si="13"/>
        <v>8</v>
      </c>
      <c r="Y36" s="132">
        <f t="shared" si="13"/>
        <v>8</v>
      </c>
      <c r="Z36" s="132">
        <f t="shared" si="13"/>
        <v>8</v>
      </c>
      <c r="AA36" s="132">
        <f t="shared" si="13"/>
        <v>8</v>
      </c>
      <c r="AB36" s="192">
        <f t="shared" si="13"/>
        <v>8</v>
      </c>
      <c r="AC36" s="132">
        <f t="shared" si="13"/>
        <v>5.6</v>
      </c>
      <c r="AD36" s="14"/>
      <c r="AE36" s="14"/>
      <c r="AF36" s="14"/>
      <c r="AG36" s="14"/>
      <c r="AH36" s="14"/>
    </row>
    <row r="37" spans="1:34" x14ac:dyDescent="0.2">
      <c r="A37" s="202" t="s">
        <v>121</v>
      </c>
      <c r="B37" s="360">
        <f>B34*$B$2</f>
        <v>4.5582916249582901</v>
      </c>
      <c r="C37" s="360">
        <f t="shared" ref="C37:AC37" si="14">C34*$B$2</f>
        <v>4.5582916249582901</v>
      </c>
      <c r="D37" s="360">
        <f t="shared" si="14"/>
        <v>4.5582916249582901</v>
      </c>
      <c r="E37" s="360">
        <f t="shared" si="14"/>
        <v>4.5582916249582901</v>
      </c>
      <c r="F37" s="360">
        <f t="shared" si="14"/>
        <v>4.5582916249582901</v>
      </c>
      <c r="G37" s="360">
        <f t="shared" si="14"/>
        <v>4.5582916249582901</v>
      </c>
      <c r="H37" s="360">
        <f t="shared" si="14"/>
        <v>5.2094761428094749</v>
      </c>
      <c r="I37" s="360">
        <f t="shared" si="14"/>
        <v>5.2094761428094749</v>
      </c>
      <c r="J37" s="360">
        <f t="shared" si="14"/>
        <v>5.2094761428094749</v>
      </c>
      <c r="K37" s="360">
        <f t="shared" si="14"/>
        <v>5.8606606606606597</v>
      </c>
      <c r="L37" s="360">
        <f t="shared" si="14"/>
        <v>5.8606606606606597</v>
      </c>
      <c r="M37" s="360">
        <f t="shared" si="14"/>
        <v>5.8606606606606597</v>
      </c>
      <c r="N37" s="360">
        <f t="shared" si="14"/>
        <v>6.5118451785118436</v>
      </c>
      <c r="O37" s="360">
        <f t="shared" si="14"/>
        <v>6.5118451785118436</v>
      </c>
      <c r="P37" s="360">
        <f t="shared" si="14"/>
        <v>6.5118451785118436</v>
      </c>
      <c r="Q37" s="360">
        <f t="shared" si="14"/>
        <v>6.5118451785118436</v>
      </c>
      <c r="R37" s="360">
        <f t="shared" si="14"/>
        <v>6.5118451785118436</v>
      </c>
      <c r="S37" s="360">
        <f t="shared" si="14"/>
        <v>6.5118451785118436</v>
      </c>
      <c r="T37" s="360">
        <f t="shared" si="14"/>
        <v>6.5118451785118436</v>
      </c>
      <c r="U37" s="360">
        <f t="shared" si="14"/>
        <v>6.5118451785118436</v>
      </c>
      <c r="V37" s="360">
        <f t="shared" si="14"/>
        <v>6.5118451785118436</v>
      </c>
      <c r="W37" s="360">
        <f t="shared" si="14"/>
        <v>6.5118451785118436</v>
      </c>
      <c r="X37" s="360">
        <f t="shared" si="14"/>
        <v>6.5118451785118436</v>
      </c>
      <c r="Y37" s="360">
        <f t="shared" si="14"/>
        <v>6.5118451785118436</v>
      </c>
      <c r="Z37" s="360">
        <f t="shared" si="14"/>
        <v>6.5118451785118436</v>
      </c>
      <c r="AA37" s="360">
        <f t="shared" si="14"/>
        <v>6.5118451785118436</v>
      </c>
      <c r="AB37" s="360">
        <f t="shared" si="14"/>
        <v>6.5118451785118436</v>
      </c>
      <c r="AC37" s="360">
        <f t="shared" si="14"/>
        <v>4.5582916249582901</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3.9059059059059043</v>
      </c>
      <c r="C39" s="323">
        <f t="shared" si="15"/>
        <v>3.9059059059059043</v>
      </c>
      <c r="D39" s="323">
        <f t="shared" si="15"/>
        <v>3.9059059059059043</v>
      </c>
      <c r="E39" s="323">
        <f t="shared" si="15"/>
        <v>3.9059059059059043</v>
      </c>
      <c r="F39" s="323">
        <f t="shared" si="15"/>
        <v>3.9059059059059043</v>
      </c>
      <c r="G39" s="323">
        <f t="shared" si="15"/>
        <v>3.9059059059059043</v>
      </c>
      <c r="H39" s="323">
        <f t="shared" si="15"/>
        <v>4.4638924638924626</v>
      </c>
      <c r="I39" s="323">
        <f t="shared" si="15"/>
        <v>4.4638924638924626</v>
      </c>
      <c r="J39" s="323">
        <f t="shared" si="15"/>
        <v>4.4638924638924626</v>
      </c>
      <c r="K39" s="323">
        <f t="shared" si="15"/>
        <v>5.0218790218790197</v>
      </c>
      <c r="L39" s="323">
        <f t="shared" si="15"/>
        <v>5.0218790218790197</v>
      </c>
      <c r="M39" s="323">
        <f t="shared" si="15"/>
        <v>5.0218790218790197</v>
      </c>
      <c r="N39" s="323">
        <f t="shared" si="15"/>
        <v>5.5798655798655776</v>
      </c>
      <c r="O39" s="323">
        <f t="shared" si="15"/>
        <v>5.5798655798655776</v>
      </c>
      <c r="P39" s="323">
        <f t="shared" si="15"/>
        <v>5.5798655798655776</v>
      </c>
      <c r="Q39" s="323">
        <f t="shared" si="15"/>
        <v>5.5798655798655776</v>
      </c>
      <c r="R39" s="323">
        <f t="shared" si="15"/>
        <v>5.5798655798655776</v>
      </c>
      <c r="S39" s="323">
        <f t="shared" si="15"/>
        <v>5.5798655798655776</v>
      </c>
      <c r="T39" s="323">
        <f t="shared" si="15"/>
        <v>5.5798655798655776</v>
      </c>
      <c r="U39" s="323">
        <f t="shared" si="15"/>
        <v>5.5798655798655776</v>
      </c>
      <c r="V39" s="323">
        <f t="shared" si="15"/>
        <v>5.5798655798655776</v>
      </c>
      <c r="W39" s="323">
        <f t="shared" si="15"/>
        <v>5.5798655798655776</v>
      </c>
      <c r="X39" s="323">
        <f t="shared" si="15"/>
        <v>5.5798655798655776</v>
      </c>
      <c r="Y39" s="323">
        <f t="shared" si="15"/>
        <v>5.5798655798655776</v>
      </c>
      <c r="Z39" s="323">
        <f t="shared" si="15"/>
        <v>5.5798655798655776</v>
      </c>
      <c r="AA39" s="323">
        <f t="shared" si="15"/>
        <v>5.5798655798655776</v>
      </c>
      <c r="AB39" s="323">
        <f t="shared" si="15"/>
        <v>5.5798655798655776</v>
      </c>
      <c r="AC39" s="323">
        <f t="shared" si="15"/>
        <v>3.9059059059059043</v>
      </c>
      <c r="AD39" s="224"/>
      <c r="AE39" s="224"/>
    </row>
    <row r="40" spans="1:34" s="225" customFormat="1" ht="12.75" x14ac:dyDescent="0.2">
      <c r="A40" s="240" t="s">
        <v>124</v>
      </c>
      <c r="B40" s="323">
        <f t="shared" ref="B40:AC40" si="16">IF($B145&gt;=0.9, B$36,B$36*$B145)</f>
        <v>0.85045045045045031</v>
      </c>
      <c r="C40" s="323">
        <f t="shared" si="16"/>
        <v>0.85045045045045031</v>
      </c>
      <c r="D40" s="323">
        <f t="shared" si="16"/>
        <v>0.85045045045045031</v>
      </c>
      <c r="E40" s="323">
        <f t="shared" si="16"/>
        <v>0.85045045045045031</v>
      </c>
      <c r="F40" s="323">
        <f t="shared" si="16"/>
        <v>0.85045045045045031</v>
      </c>
      <c r="G40" s="323">
        <f t="shared" si="16"/>
        <v>0.85045045045045031</v>
      </c>
      <c r="H40" s="323">
        <f t="shared" si="16"/>
        <v>0.97194337194337188</v>
      </c>
      <c r="I40" s="323">
        <f t="shared" si="16"/>
        <v>0.97194337194337188</v>
      </c>
      <c r="J40" s="323">
        <f t="shared" si="16"/>
        <v>0.97194337194337188</v>
      </c>
      <c r="K40" s="323">
        <f t="shared" si="16"/>
        <v>1.0934362934362933</v>
      </c>
      <c r="L40" s="323">
        <f t="shared" si="16"/>
        <v>1.0934362934362933</v>
      </c>
      <c r="M40" s="323">
        <f t="shared" si="16"/>
        <v>1.0934362934362933</v>
      </c>
      <c r="N40" s="323">
        <f t="shared" si="16"/>
        <v>1.2149292149292148</v>
      </c>
      <c r="O40" s="323">
        <f t="shared" si="16"/>
        <v>1.2149292149292148</v>
      </c>
      <c r="P40" s="323">
        <f t="shared" si="16"/>
        <v>1.2149292149292148</v>
      </c>
      <c r="Q40" s="323">
        <f t="shared" si="16"/>
        <v>1.2149292149292148</v>
      </c>
      <c r="R40" s="323">
        <f t="shared" si="16"/>
        <v>1.2149292149292148</v>
      </c>
      <c r="S40" s="323">
        <f t="shared" si="16"/>
        <v>1.2149292149292148</v>
      </c>
      <c r="T40" s="323">
        <f t="shared" si="16"/>
        <v>1.2149292149292148</v>
      </c>
      <c r="U40" s="323">
        <f t="shared" si="16"/>
        <v>1.2149292149292148</v>
      </c>
      <c r="V40" s="323">
        <f t="shared" si="16"/>
        <v>1.2149292149292148</v>
      </c>
      <c r="W40" s="323">
        <f t="shared" si="16"/>
        <v>1.2149292149292148</v>
      </c>
      <c r="X40" s="323">
        <f t="shared" si="16"/>
        <v>1.2149292149292148</v>
      </c>
      <c r="Y40" s="323">
        <f t="shared" si="16"/>
        <v>1.2149292149292148</v>
      </c>
      <c r="Z40" s="323">
        <f t="shared" si="16"/>
        <v>1.2149292149292148</v>
      </c>
      <c r="AA40" s="323">
        <f t="shared" si="16"/>
        <v>1.2149292149292148</v>
      </c>
      <c r="AB40" s="323">
        <f t="shared" si="16"/>
        <v>1.2149292149292148</v>
      </c>
      <c r="AC40" s="323">
        <f t="shared" si="16"/>
        <v>0.85045045045045031</v>
      </c>
      <c r="AD40" s="224"/>
      <c r="AE40" s="224"/>
    </row>
    <row r="41" spans="1:34" s="225" customFormat="1" ht="12.75" x14ac:dyDescent="0.2">
      <c r="A41" s="240" t="s">
        <v>125</v>
      </c>
      <c r="B41" s="323">
        <f t="shared" ref="B41:AC41" si="17">IF($B146&gt;=0.9, B$36,B$36*$B146)</f>
        <v>2.2266266266266261</v>
      </c>
      <c r="C41" s="323">
        <f t="shared" si="17"/>
        <v>2.2266266266266261</v>
      </c>
      <c r="D41" s="323">
        <f t="shared" si="17"/>
        <v>2.2266266266266261</v>
      </c>
      <c r="E41" s="323">
        <f t="shared" si="17"/>
        <v>2.2266266266266261</v>
      </c>
      <c r="F41" s="323">
        <f t="shared" si="17"/>
        <v>2.2266266266266261</v>
      </c>
      <c r="G41" s="323">
        <f t="shared" si="17"/>
        <v>2.2266266266266261</v>
      </c>
      <c r="H41" s="323">
        <f t="shared" si="17"/>
        <v>2.5447161447161442</v>
      </c>
      <c r="I41" s="323">
        <f t="shared" si="17"/>
        <v>2.5447161447161442</v>
      </c>
      <c r="J41" s="323">
        <f t="shared" si="17"/>
        <v>2.5447161447161442</v>
      </c>
      <c r="K41" s="323">
        <f t="shared" si="17"/>
        <v>2.8628056628056622</v>
      </c>
      <c r="L41" s="323">
        <f t="shared" si="17"/>
        <v>2.8628056628056622</v>
      </c>
      <c r="M41" s="323">
        <f t="shared" si="17"/>
        <v>2.8628056628056622</v>
      </c>
      <c r="N41" s="323">
        <f t="shared" si="17"/>
        <v>3.1808951808951802</v>
      </c>
      <c r="O41" s="323">
        <f t="shared" si="17"/>
        <v>3.1808951808951802</v>
      </c>
      <c r="P41" s="323">
        <f t="shared" si="17"/>
        <v>3.1808951808951802</v>
      </c>
      <c r="Q41" s="323">
        <f t="shared" si="17"/>
        <v>3.1808951808951802</v>
      </c>
      <c r="R41" s="323">
        <f t="shared" si="17"/>
        <v>3.1808951808951802</v>
      </c>
      <c r="S41" s="323">
        <f t="shared" si="17"/>
        <v>3.1808951808951802</v>
      </c>
      <c r="T41" s="323">
        <f t="shared" si="17"/>
        <v>3.1808951808951802</v>
      </c>
      <c r="U41" s="323">
        <f t="shared" si="17"/>
        <v>3.1808951808951802</v>
      </c>
      <c r="V41" s="323">
        <f t="shared" si="17"/>
        <v>3.1808951808951802</v>
      </c>
      <c r="W41" s="323">
        <f t="shared" si="17"/>
        <v>3.1808951808951802</v>
      </c>
      <c r="X41" s="323">
        <f t="shared" si="17"/>
        <v>3.1808951808951802</v>
      </c>
      <c r="Y41" s="323">
        <f t="shared" si="17"/>
        <v>3.1808951808951802</v>
      </c>
      <c r="Z41" s="323">
        <f t="shared" si="17"/>
        <v>3.1808951808951802</v>
      </c>
      <c r="AA41" s="323">
        <f t="shared" si="17"/>
        <v>3.1808951808951802</v>
      </c>
      <c r="AB41" s="323">
        <f t="shared" si="17"/>
        <v>3.1808951808951802</v>
      </c>
      <c r="AC41" s="323">
        <f t="shared" si="17"/>
        <v>2.2266266266266261</v>
      </c>
      <c r="AD41" s="224"/>
      <c r="AE41" s="224"/>
    </row>
    <row r="42" spans="1:34" s="225" customFormat="1" ht="12.75" x14ac:dyDescent="0.2">
      <c r="A42" s="240" t="s">
        <v>126</v>
      </c>
      <c r="B42" s="323">
        <f t="shared" ref="B42:AC42" si="18">IF($B147&gt;=0.9, B$36,B$36*$B147)</f>
        <v>3.8410410410410392</v>
      </c>
      <c r="C42" s="323">
        <f t="shared" si="18"/>
        <v>3.8410410410410392</v>
      </c>
      <c r="D42" s="323">
        <f t="shared" si="18"/>
        <v>3.8410410410410392</v>
      </c>
      <c r="E42" s="323">
        <f t="shared" si="18"/>
        <v>3.8410410410410392</v>
      </c>
      <c r="F42" s="323">
        <f t="shared" si="18"/>
        <v>3.8410410410410392</v>
      </c>
      <c r="G42" s="323">
        <f t="shared" si="18"/>
        <v>3.8410410410410392</v>
      </c>
      <c r="H42" s="323">
        <f t="shared" si="18"/>
        <v>4.3897611897611881</v>
      </c>
      <c r="I42" s="323">
        <f t="shared" si="18"/>
        <v>4.3897611897611881</v>
      </c>
      <c r="J42" s="323">
        <f t="shared" si="18"/>
        <v>4.3897611897611881</v>
      </c>
      <c r="K42" s="323">
        <f t="shared" si="18"/>
        <v>4.9384813384813366</v>
      </c>
      <c r="L42" s="323">
        <f t="shared" si="18"/>
        <v>4.9384813384813366</v>
      </c>
      <c r="M42" s="323">
        <f t="shared" si="18"/>
        <v>4.9384813384813366</v>
      </c>
      <c r="N42" s="323">
        <f t="shared" si="18"/>
        <v>5.4872014872014852</v>
      </c>
      <c r="O42" s="323">
        <f t="shared" si="18"/>
        <v>5.4872014872014852</v>
      </c>
      <c r="P42" s="323">
        <f t="shared" si="18"/>
        <v>5.4872014872014852</v>
      </c>
      <c r="Q42" s="323">
        <f t="shared" si="18"/>
        <v>5.4872014872014852</v>
      </c>
      <c r="R42" s="323">
        <f t="shared" si="18"/>
        <v>5.4872014872014852</v>
      </c>
      <c r="S42" s="323">
        <f t="shared" si="18"/>
        <v>5.4872014872014852</v>
      </c>
      <c r="T42" s="323">
        <f t="shared" si="18"/>
        <v>5.4872014872014852</v>
      </c>
      <c r="U42" s="323">
        <f t="shared" si="18"/>
        <v>5.4872014872014852</v>
      </c>
      <c r="V42" s="323">
        <f t="shared" si="18"/>
        <v>5.4872014872014852</v>
      </c>
      <c r="W42" s="323">
        <f t="shared" si="18"/>
        <v>5.4872014872014852</v>
      </c>
      <c r="X42" s="323">
        <f t="shared" si="18"/>
        <v>5.4872014872014852</v>
      </c>
      <c r="Y42" s="323">
        <f t="shared" si="18"/>
        <v>5.4872014872014852</v>
      </c>
      <c r="Z42" s="323">
        <f t="shared" si="18"/>
        <v>5.4872014872014852</v>
      </c>
      <c r="AA42" s="323">
        <f t="shared" si="18"/>
        <v>5.4872014872014852</v>
      </c>
      <c r="AB42" s="323">
        <f t="shared" si="18"/>
        <v>5.4872014872014852</v>
      </c>
      <c r="AC42" s="323">
        <f t="shared" si="18"/>
        <v>3.8410410410410392</v>
      </c>
      <c r="AD42" s="224"/>
      <c r="AE42" s="224"/>
    </row>
    <row r="43" spans="1:34" s="225" customFormat="1" ht="12.75" x14ac:dyDescent="0.2">
      <c r="A43" s="240" t="s">
        <v>127</v>
      </c>
      <c r="B43" s="323">
        <f t="shared" ref="B43:AC43" si="19">IF($B148&gt;=0.9, B$36,B$36*$B148)</f>
        <v>3.9059059059059043</v>
      </c>
      <c r="C43" s="323">
        <f t="shared" si="19"/>
        <v>3.9059059059059043</v>
      </c>
      <c r="D43" s="323">
        <f t="shared" si="19"/>
        <v>3.9059059059059043</v>
      </c>
      <c r="E43" s="323">
        <f t="shared" si="19"/>
        <v>3.9059059059059043</v>
      </c>
      <c r="F43" s="323">
        <f t="shared" si="19"/>
        <v>3.9059059059059043</v>
      </c>
      <c r="G43" s="323">
        <f t="shared" si="19"/>
        <v>3.9059059059059043</v>
      </c>
      <c r="H43" s="323">
        <f t="shared" si="19"/>
        <v>4.4638924638924626</v>
      </c>
      <c r="I43" s="323">
        <f t="shared" si="19"/>
        <v>4.4638924638924626</v>
      </c>
      <c r="J43" s="323">
        <f t="shared" si="19"/>
        <v>4.4638924638924626</v>
      </c>
      <c r="K43" s="323">
        <f t="shared" si="19"/>
        <v>5.0218790218790197</v>
      </c>
      <c r="L43" s="323">
        <f t="shared" si="19"/>
        <v>5.0218790218790197</v>
      </c>
      <c r="M43" s="323">
        <f t="shared" si="19"/>
        <v>5.0218790218790197</v>
      </c>
      <c r="N43" s="323">
        <f t="shared" si="19"/>
        <v>5.5798655798655776</v>
      </c>
      <c r="O43" s="323">
        <f t="shared" si="19"/>
        <v>5.5798655798655776</v>
      </c>
      <c r="P43" s="323">
        <f t="shared" si="19"/>
        <v>5.5798655798655776</v>
      </c>
      <c r="Q43" s="323">
        <f t="shared" si="19"/>
        <v>5.5798655798655776</v>
      </c>
      <c r="R43" s="323">
        <f t="shared" si="19"/>
        <v>5.5798655798655776</v>
      </c>
      <c r="S43" s="323">
        <f t="shared" si="19"/>
        <v>5.5798655798655776</v>
      </c>
      <c r="T43" s="323">
        <f t="shared" si="19"/>
        <v>5.5798655798655776</v>
      </c>
      <c r="U43" s="323">
        <f t="shared" si="19"/>
        <v>5.5798655798655776</v>
      </c>
      <c r="V43" s="323">
        <f t="shared" si="19"/>
        <v>5.5798655798655776</v>
      </c>
      <c r="W43" s="323">
        <f t="shared" si="19"/>
        <v>5.5798655798655776</v>
      </c>
      <c r="X43" s="323">
        <f t="shared" si="19"/>
        <v>5.5798655798655776</v>
      </c>
      <c r="Y43" s="323">
        <f t="shared" si="19"/>
        <v>5.5798655798655776</v>
      </c>
      <c r="Z43" s="323">
        <f t="shared" si="19"/>
        <v>5.5798655798655776</v>
      </c>
      <c r="AA43" s="323">
        <f t="shared" si="19"/>
        <v>5.5798655798655776</v>
      </c>
      <c r="AB43" s="323">
        <f t="shared" si="19"/>
        <v>5.5798655798655776</v>
      </c>
      <c r="AC43" s="323">
        <f t="shared" si="19"/>
        <v>3.9059059059059043</v>
      </c>
      <c r="AD43" s="224"/>
      <c r="AE43" s="224"/>
    </row>
    <row r="44" spans="1:34" s="225" customFormat="1" ht="12.75" x14ac:dyDescent="0.2">
      <c r="A44" s="240" t="s">
        <v>128</v>
      </c>
      <c r="B44" s="323">
        <f t="shared" ref="B44:AC44" si="20">IF($B149&gt;=0.9, B$36,B$36*$B149)</f>
        <v>3.9059059059059043</v>
      </c>
      <c r="C44" s="323">
        <f t="shared" si="20"/>
        <v>3.9059059059059043</v>
      </c>
      <c r="D44" s="323">
        <f t="shared" si="20"/>
        <v>3.9059059059059043</v>
      </c>
      <c r="E44" s="323">
        <f t="shared" si="20"/>
        <v>3.9059059059059043</v>
      </c>
      <c r="F44" s="323">
        <f t="shared" si="20"/>
        <v>3.9059059059059043</v>
      </c>
      <c r="G44" s="323">
        <f t="shared" si="20"/>
        <v>3.9059059059059043</v>
      </c>
      <c r="H44" s="323">
        <f t="shared" si="20"/>
        <v>4.4638924638924626</v>
      </c>
      <c r="I44" s="323">
        <f t="shared" si="20"/>
        <v>4.4638924638924626</v>
      </c>
      <c r="J44" s="323">
        <f t="shared" si="20"/>
        <v>4.4638924638924626</v>
      </c>
      <c r="K44" s="323">
        <f t="shared" si="20"/>
        <v>5.0218790218790197</v>
      </c>
      <c r="L44" s="323">
        <f t="shared" si="20"/>
        <v>5.0218790218790197</v>
      </c>
      <c r="M44" s="323">
        <f t="shared" si="20"/>
        <v>5.0218790218790197</v>
      </c>
      <c r="N44" s="323">
        <f t="shared" si="20"/>
        <v>5.5798655798655776</v>
      </c>
      <c r="O44" s="323">
        <f t="shared" si="20"/>
        <v>5.5798655798655776</v>
      </c>
      <c r="P44" s="323">
        <f t="shared" si="20"/>
        <v>5.5798655798655776</v>
      </c>
      <c r="Q44" s="323">
        <f t="shared" si="20"/>
        <v>5.5798655798655776</v>
      </c>
      <c r="R44" s="323">
        <f t="shared" si="20"/>
        <v>5.5798655798655776</v>
      </c>
      <c r="S44" s="323">
        <f t="shared" si="20"/>
        <v>5.5798655798655776</v>
      </c>
      <c r="T44" s="323">
        <f t="shared" si="20"/>
        <v>5.5798655798655776</v>
      </c>
      <c r="U44" s="323">
        <f t="shared" si="20"/>
        <v>5.5798655798655776</v>
      </c>
      <c r="V44" s="323">
        <f t="shared" si="20"/>
        <v>5.5798655798655776</v>
      </c>
      <c r="W44" s="323">
        <f t="shared" si="20"/>
        <v>5.5798655798655776</v>
      </c>
      <c r="X44" s="323">
        <f t="shared" si="20"/>
        <v>5.5798655798655776</v>
      </c>
      <c r="Y44" s="323">
        <f t="shared" si="20"/>
        <v>5.5798655798655776</v>
      </c>
      <c r="Z44" s="323">
        <f t="shared" si="20"/>
        <v>5.5798655798655776</v>
      </c>
      <c r="AA44" s="323">
        <f t="shared" si="20"/>
        <v>5.5798655798655776</v>
      </c>
      <c r="AB44" s="323">
        <f t="shared" si="20"/>
        <v>5.5798655798655776</v>
      </c>
      <c r="AC44" s="323">
        <f t="shared" si="20"/>
        <v>3.9059059059059043</v>
      </c>
      <c r="AD44" s="224"/>
      <c r="AE44" s="224"/>
    </row>
    <row r="45" spans="1:34" s="225" customFormat="1" ht="12.75" x14ac:dyDescent="0.2">
      <c r="A45" s="240" t="s">
        <v>129</v>
      </c>
      <c r="B45" s="323">
        <f>IF(B$13="Deploy",B$36,IF($B150&gt;=0.9, B$36,B$36*$B150))</f>
        <v>1.9571571571571567</v>
      </c>
      <c r="C45" s="323">
        <f t="shared" ref="C45:AC45" si="21">IF(C$13="Deploy",C$36,IF($B150&gt;=0.9, C$36,C$36*$B150))</f>
        <v>1.9571571571571567</v>
      </c>
      <c r="D45" s="323">
        <f t="shared" si="21"/>
        <v>1.9571571571571567</v>
      </c>
      <c r="E45" s="323">
        <f t="shared" si="21"/>
        <v>1.9571571571571567</v>
      </c>
      <c r="F45" s="323">
        <f t="shared" si="21"/>
        <v>1.9571571571571567</v>
      </c>
      <c r="G45" s="323">
        <f t="shared" si="21"/>
        <v>1.9571571571571567</v>
      </c>
      <c r="H45" s="323">
        <f t="shared" si="21"/>
        <v>2.2367510367510364</v>
      </c>
      <c r="I45" s="323">
        <f t="shared" si="21"/>
        <v>2.2367510367510364</v>
      </c>
      <c r="J45" s="323">
        <f t="shared" si="21"/>
        <v>2.2367510367510364</v>
      </c>
      <c r="K45" s="323">
        <f t="shared" si="21"/>
        <v>2.5163449163449161</v>
      </c>
      <c r="L45" s="323">
        <f t="shared" si="21"/>
        <v>2.5163449163449161</v>
      </c>
      <c r="M45" s="323">
        <f t="shared" si="21"/>
        <v>2.5163449163449161</v>
      </c>
      <c r="N45" s="323">
        <f t="shared" si="21"/>
        <v>2.7959387959387954</v>
      </c>
      <c r="O45" s="323">
        <f t="shared" si="21"/>
        <v>2.7959387959387954</v>
      </c>
      <c r="P45" s="323">
        <f t="shared" si="21"/>
        <v>2.7959387959387954</v>
      </c>
      <c r="Q45" s="323">
        <f t="shared" si="21"/>
        <v>2.7959387959387954</v>
      </c>
      <c r="R45" s="323">
        <f t="shared" si="21"/>
        <v>8</v>
      </c>
      <c r="S45" s="323">
        <f t="shared" si="21"/>
        <v>8</v>
      </c>
      <c r="T45" s="323">
        <f t="shared" si="21"/>
        <v>8</v>
      </c>
      <c r="U45" s="323">
        <f t="shared" si="21"/>
        <v>8</v>
      </c>
      <c r="V45" s="323">
        <f t="shared" si="21"/>
        <v>8</v>
      </c>
      <c r="W45" s="323">
        <f t="shared" si="21"/>
        <v>8</v>
      </c>
      <c r="X45" s="323">
        <f t="shared" si="21"/>
        <v>2.7959387959387954</v>
      </c>
      <c r="Y45" s="323">
        <f t="shared" si="21"/>
        <v>2.7959387959387954</v>
      </c>
      <c r="Z45" s="323">
        <f t="shared" si="21"/>
        <v>2.7959387959387954</v>
      </c>
      <c r="AA45" s="323">
        <f t="shared" si="21"/>
        <v>2.7959387959387954</v>
      </c>
      <c r="AB45" s="323">
        <f t="shared" si="21"/>
        <v>2.7959387959387954</v>
      </c>
      <c r="AC45" s="323">
        <f t="shared" si="21"/>
        <v>1.9571571571571567</v>
      </c>
      <c r="AD45" s="224"/>
      <c r="AE45" s="224"/>
    </row>
    <row r="46" spans="1:34" s="225" customFormat="1" ht="12.75" x14ac:dyDescent="0.2">
      <c r="A46" s="240" t="s">
        <v>130</v>
      </c>
      <c r="B46" s="323">
        <f t="shared" ref="B46:AC46" si="22">IF($B151&gt;=0.9, B$36,B$36*$B151)</f>
        <v>4.1689689689689668</v>
      </c>
      <c r="C46" s="323">
        <f t="shared" si="22"/>
        <v>4.1689689689689668</v>
      </c>
      <c r="D46" s="323">
        <f t="shared" si="22"/>
        <v>4.1689689689689668</v>
      </c>
      <c r="E46" s="323">
        <f t="shared" si="22"/>
        <v>4.1689689689689668</v>
      </c>
      <c r="F46" s="323">
        <f t="shared" si="22"/>
        <v>4.1689689689689668</v>
      </c>
      <c r="G46" s="323">
        <f t="shared" si="22"/>
        <v>4.1689689689689668</v>
      </c>
      <c r="H46" s="323">
        <f t="shared" si="22"/>
        <v>4.7645359645359626</v>
      </c>
      <c r="I46" s="323">
        <f t="shared" si="22"/>
        <v>4.7645359645359626</v>
      </c>
      <c r="J46" s="323">
        <f t="shared" si="22"/>
        <v>4.7645359645359626</v>
      </c>
      <c r="K46" s="323">
        <f t="shared" si="22"/>
        <v>5.3601029601029584</v>
      </c>
      <c r="L46" s="323">
        <f t="shared" si="22"/>
        <v>5.3601029601029584</v>
      </c>
      <c r="M46" s="323">
        <f t="shared" si="22"/>
        <v>5.3601029601029584</v>
      </c>
      <c r="N46" s="323">
        <f t="shared" si="22"/>
        <v>5.9556699556699533</v>
      </c>
      <c r="O46" s="323">
        <f t="shared" si="22"/>
        <v>5.9556699556699533</v>
      </c>
      <c r="P46" s="323">
        <f t="shared" si="22"/>
        <v>5.9556699556699533</v>
      </c>
      <c r="Q46" s="323">
        <f t="shared" si="22"/>
        <v>5.9556699556699533</v>
      </c>
      <c r="R46" s="323">
        <f t="shared" si="22"/>
        <v>5.9556699556699533</v>
      </c>
      <c r="S46" s="323">
        <f t="shared" si="22"/>
        <v>5.9556699556699533</v>
      </c>
      <c r="T46" s="323">
        <f t="shared" si="22"/>
        <v>5.9556699556699533</v>
      </c>
      <c r="U46" s="323">
        <f t="shared" si="22"/>
        <v>5.9556699556699533</v>
      </c>
      <c r="V46" s="323">
        <f t="shared" si="22"/>
        <v>5.9556699556699533</v>
      </c>
      <c r="W46" s="323">
        <f t="shared" si="22"/>
        <v>5.9556699556699533</v>
      </c>
      <c r="X46" s="323">
        <f t="shared" si="22"/>
        <v>5.9556699556699533</v>
      </c>
      <c r="Y46" s="323">
        <f t="shared" si="22"/>
        <v>5.9556699556699533</v>
      </c>
      <c r="Z46" s="323">
        <f t="shared" si="22"/>
        <v>5.9556699556699533</v>
      </c>
      <c r="AA46" s="323">
        <f t="shared" si="22"/>
        <v>5.9556699556699533</v>
      </c>
      <c r="AB46" s="323">
        <f t="shared" si="22"/>
        <v>5.9556699556699533</v>
      </c>
      <c r="AC46" s="323">
        <f t="shared" si="22"/>
        <v>4.1689689689689668</v>
      </c>
      <c r="AD46" s="224"/>
      <c r="AE46" s="224"/>
    </row>
    <row r="47" spans="1:34" s="225" customFormat="1" ht="12.75" x14ac:dyDescent="0.2">
      <c r="A47" s="240" t="s">
        <v>131</v>
      </c>
      <c r="B47" s="323">
        <f>IF(B$13="Deploy",B$36,IF($B152&gt;=0.9, B$36,B$36*$B152))</f>
        <v>1.8256256256256251</v>
      </c>
      <c r="C47" s="323">
        <f t="shared" ref="C47:AC47" si="23">IF(C$13="Deploy",C$36,IF($B152&gt;=0.9, C$36,C$36*$B152))</f>
        <v>1.8256256256256251</v>
      </c>
      <c r="D47" s="323">
        <f t="shared" si="23"/>
        <v>1.8256256256256251</v>
      </c>
      <c r="E47" s="323">
        <f t="shared" si="23"/>
        <v>1.8256256256256251</v>
      </c>
      <c r="F47" s="323">
        <f t="shared" si="23"/>
        <v>1.8256256256256251</v>
      </c>
      <c r="G47" s="323">
        <f t="shared" si="23"/>
        <v>1.8256256256256251</v>
      </c>
      <c r="H47" s="323">
        <f t="shared" si="23"/>
        <v>2.0864292864292859</v>
      </c>
      <c r="I47" s="323">
        <f t="shared" si="23"/>
        <v>2.0864292864292859</v>
      </c>
      <c r="J47" s="323">
        <f t="shared" si="23"/>
        <v>2.0864292864292859</v>
      </c>
      <c r="K47" s="323">
        <f t="shared" si="23"/>
        <v>2.3472329472329467</v>
      </c>
      <c r="L47" s="323">
        <f t="shared" si="23"/>
        <v>2.3472329472329467</v>
      </c>
      <c r="M47" s="323">
        <f t="shared" si="23"/>
        <v>2.3472329472329467</v>
      </c>
      <c r="N47" s="323">
        <f t="shared" si="23"/>
        <v>2.6080366080366075</v>
      </c>
      <c r="O47" s="323">
        <f t="shared" si="23"/>
        <v>2.6080366080366075</v>
      </c>
      <c r="P47" s="323">
        <f t="shared" si="23"/>
        <v>2.6080366080366075</v>
      </c>
      <c r="Q47" s="323">
        <f t="shared" si="23"/>
        <v>2.6080366080366075</v>
      </c>
      <c r="R47" s="323">
        <f t="shared" si="23"/>
        <v>8</v>
      </c>
      <c r="S47" s="323">
        <f t="shared" si="23"/>
        <v>8</v>
      </c>
      <c r="T47" s="323">
        <f t="shared" si="23"/>
        <v>8</v>
      </c>
      <c r="U47" s="323">
        <f t="shared" si="23"/>
        <v>8</v>
      </c>
      <c r="V47" s="323">
        <f t="shared" si="23"/>
        <v>8</v>
      </c>
      <c r="W47" s="323">
        <f t="shared" si="23"/>
        <v>8</v>
      </c>
      <c r="X47" s="323">
        <f t="shared" si="23"/>
        <v>2.6080366080366075</v>
      </c>
      <c r="Y47" s="323">
        <f t="shared" si="23"/>
        <v>2.6080366080366075</v>
      </c>
      <c r="Z47" s="323">
        <f t="shared" si="23"/>
        <v>2.6080366080366075</v>
      </c>
      <c r="AA47" s="323">
        <f t="shared" si="23"/>
        <v>2.6080366080366075</v>
      </c>
      <c r="AB47" s="323">
        <f t="shared" si="23"/>
        <v>2.6080366080366075</v>
      </c>
      <c r="AC47" s="323">
        <f t="shared" si="23"/>
        <v>1.8256256256256251</v>
      </c>
      <c r="AD47" s="224"/>
      <c r="AE47" s="224"/>
    </row>
    <row r="48" spans="1:34" s="225" customFormat="1" ht="12.75" x14ac:dyDescent="0.2">
      <c r="A48" s="240" t="s">
        <v>132</v>
      </c>
      <c r="B48" s="323">
        <f t="shared" ref="B48:AC48" si="24">IF($B153&gt;=0.9, B$36,B$36*$B153)</f>
        <v>5.6</v>
      </c>
      <c r="C48" s="323">
        <f t="shared" si="24"/>
        <v>5.6</v>
      </c>
      <c r="D48" s="323">
        <f t="shared" si="24"/>
        <v>5.6</v>
      </c>
      <c r="E48" s="323">
        <f t="shared" si="24"/>
        <v>5.6</v>
      </c>
      <c r="F48" s="323">
        <f t="shared" si="24"/>
        <v>5.6</v>
      </c>
      <c r="G48" s="323">
        <f t="shared" si="24"/>
        <v>5.6</v>
      </c>
      <c r="H48" s="323">
        <f t="shared" si="24"/>
        <v>6.4</v>
      </c>
      <c r="I48" s="323">
        <f t="shared" si="24"/>
        <v>6.4</v>
      </c>
      <c r="J48" s="323">
        <f t="shared" si="24"/>
        <v>6.4</v>
      </c>
      <c r="K48" s="323">
        <f t="shared" si="24"/>
        <v>7.2</v>
      </c>
      <c r="L48" s="323">
        <f t="shared" si="24"/>
        <v>7.2</v>
      </c>
      <c r="M48" s="323">
        <f t="shared" si="24"/>
        <v>7.2</v>
      </c>
      <c r="N48" s="323">
        <f t="shared" si="24"/>
        <v>8</v>
      </c>
      <c r="O48" s="323">
        <f t="shared" si="24"/>
        <v>8</v>
      </c>
      <c r="P48" s="323">
        <f t="shared" si="24"/>
        <v>8</v>
      </c>
      <c r="Q48" s="323">
        <f t="shared" si="24"/>
        <v>8</v>
      </c>
      <c r="R48" s="323">
        <f t="shared" si="24"/>
        <v>8</v>
      </c>
      <c r="S48" s="323">
        <f t="shared" si="24"/>
        <v>8</v>
      </c>
      <c r="T48" s="323">
        <f t="shared" si="24"/>
        <v>8</v>
      </c>
      <c r="U48" s="323">
        <f t="shared" si="24"/>
        <v>8</v>
      </c>
      <c r="V48" s="323">
        <f t="shared" si="24"/>
        <v>8</v>
      </c>
      <c r="W48" s="323">
        <f t="shared" si="24"/>
        <v>8</v>
      </c>
      <c r="X48" s="323">
        <f t="shared" si="24"/>
        <v>8</v>
      </c>
      <c r="Y48" s="323">
        <f t="shared" si="24"/>
        <v>8</v>
      </c>
      <c r="Z48" s="323">
        <f t="shared" si="24"/>
        <v>8</v>
      </c>
      <c r="AA48" s="323">
        <f t="shared" si="24"/>
        <v>8</v>
      </c>
      <c r="AB48" s="323">
        <f t="shared" si="24"/>
        <v>8</v>
      </c>
      <c r="AC48" s="323">
        <f t="shared" si="24"/>
        <v>5.6</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296" t="s">
        <v>134</v>
      </c>
      <c r="B50" s="67">
        <v>5</v>
      </c>
      <c r="C50" s="67">
        <v>5</v>
      </c>
      <c r="D50" s="67">
        <v>5</v>
      </c>
      <c r="E50" s="67">
        <v>5</v>
      </c>
      <c r="F50" s="67">
        <v>5</v>
      </c>
      <c r="G50" s="67">
        <v>5</v>
      </c>
      <c r="H50" s="67">
        <v>6</v>
      </c>
      <c r="I50" s="67">
        <v>6</v>
      </c>
      <c r="J50" s="67">
        <v>6</v>
      </c>
      <c r="K50" s="67">
        <v>7</v>
      </c>
      <c r="L50" s="67">
        <v>7</v>
      </c>
      <c r="M50" s="67">
        <v>7</v>
      </c>
      <c r="N50" s="67">
        <v>8</v>
      </c>
      <c r="O50" s="67">
        <v>8</v>
      </c>
      <c r="P50" s="67">
        <v>8</v>
      </c>
      <c r="Q50" s="67">
        <v>8</v>
      </c>
      <c r="R50" s="67">
        <v>8</v>
      </c>
      <c r="S50" s="67">
        <v>8</v>
      </c>
      <c r="T50" s="67">
        <v>8</v>
      </c>
      <c r="U50" s="67">
        <v>8</v>
      </c>
      <c r="V50" s="67">
        <v>8</v>
      </c>
      <c r="W50" s="67">
        <v>8</v>
      </c>
      <c r="X50" s="67">
        <v>8</v>
      </c>
      <c r="Y50" s="67">
        <v>8</v>
      </c>
      <c r="Z50" s="67">
        <v>8</v>
      </c>
      <c r="AA50" s="67">
        <v>8</v>
      </c>
      <c r="AB50" s="356">
        <v>8</v>
      </c>
      <c r="AC50" s="67">
        <v>5</v>
      </c>
      <c r="AD50" s="38"/>
      <c r="AE50" s="38"/>
      <c r="AF50" s="38"/>
      <c r="AG50" s="38"/>
      <c r="AH50" s="38"/>
    </row>
    <row r="51" spans="1:34" x14ac:dyDescent="0.2">
      <c r="A51" s="66" t="s">
        <v>135</v>
      </c>
      <c r="B51" s="67">
        <f t="shared" ref="B51:AC51" si="25">ROUND(1*B50,2)</f>
        <v>5</v>
      </c>
      <c r="C51" s="67">
        <f t="shared" si="25"/>
        <v>5</v>
      </c>
      <c r="D51" s="67">
        <f t="shared" si="25"/>
        <v>5</v>
      </c>
      <c r="E51" s="67">
        <f t="shared" si="25"/>
        <v>5</v>
      </c>
      <c r="F51" s="67">
        <f t="shared" si="25"/>
        <v>5</v>
      </c>
      <c r="G51" s="67">
        <f t="shared" si="25"/>
        <v>5</v>
      </c>
      <c r="H51" s="67">
        <f t="shared" si="25"/>
        <v>6</v>
      </c>
      <c r="I51" s="67">
        <f t="shared" si="25"/>
        <v>6</v>
      </c>
      <c r="J51" s="67">
        <f t="shared" si="25"/>
        <v>6</v>
      </c>
      <c r="K51" s="67">
        <f t="shared" si="25"/>
        <v>7</v>
      </c>
      <c r="L51" s="67">
        <f t="shared" si="25"/>
        <v>7</v>
      </c>
      <c r="M51" s="67">
        <f t="shared" si="25"/>
        <v>7</v>
      </c>
      <c r="N51" s="67">
        <f t="shared" si="25"/>
        <v>8</v>
      </c>
      <c r="O51" s="67">
        <f t="shared" si="25"/>
        <v>8</v>
      </c>
      <c r="P51" s="67">
        <f t="shared" si="25"/>
        <v>8</v>
      </c>
      <c r="Q51" s="67">
        <f t="shared" si="25"/>
        <v>8</v>
      </c>
      <c r="R51" s="67">
        <f t="shared" si="25"/>
        <v>8</v>
      </c>
      <c r="S51" s="67">
        <f t="shared" si="25"/>
        <v>8</v>
      </c>
      <c r="T51" s="67">
        <f t="shared" si="25"/>
        <v>8</v>
      </c>
      <c r="U51" s="67">
        <f t="shared" si="25"/>
        <v>8</v>
      </c>
      <c r="V51" s="67">
        <f t="shared" si="25"/>
        <v>8</v>
      </c>
      <c r="W51" s="67">
        <f t="shared" si="25"/>
        <v>8</v>
      </c>
      <c r="X51" s="67">
        <f t="shared" si="25"/>
        <v>8</v>
      </c>
      <c r="Y51" s="67">
        <f t="shared" si="25"/>
        <v>8</v>
      </c>
      <c r="Z51" s="67">
        <f t="shared" si="25"/>
        <v>8</v>
      </c>
      <c r="AA51" s="67">
        <f t="shared" si="25"/>
        <v>8</v>
      </c>
      <c r="AB51" s="356">
        <f t="shared" si="25"/>
        <v>8</v>
      </c>
      <c r="AC51" s="67">
        <f t="shared" si="25"/>
        <v>5</v>
      </c>
      <c r="AF51" s="14"/>
      <c r="AG51" s="14"/>
      <c r="AH51" s="14"/>
    </row>
    <row r="52" spans="1:34" s="30" customFormat="1" x14ac:dyDescent="0.2">
      <c r="A52" s="64" t="s">
        <v>136</v>
      </c>
      <c r="B52" s="91">
        <v>0</v>
      </c>
      <c r="C52" s="91">
        <v>0</v>
      </c>
      <c r="D52" s="91">
        <v>0</v>
      </c>
      <c r="E52" s="91">
        <v>0</v>
      </c>
      <c r="F52" s="91">
        <v>0</v>
      </c>
      <c r="G52" s="91">
        <v>0</v>
      </c>
      <c r="H52" s="91">
        <v>0</v>
      </c>
      <c r="I52" s="91">
        <v>0</v>
      </c>
      <c r="J52" s="91">
        <v>0</v>
      </c>
      <c r="K52" s="91">
        <v>0</v>
      </c>
      <c r="L52" s="91">
        <v>0</v>
      </c>
      <c r="M52" s="91">
        <v>0</v>
      </c>
      <c r="N52" s="91">
        <v>0</v>
      </c>
      <c r="O52" s="91">
        <v>0</v>
      </c>
      <c r="P52" s="91">
        <v>0</v>
      </c>
      <c r="Q52" s="91">
        <v>0</v>
      </c>
      <c r="R52" s="91">
        <v>0</v>
      </c>
      <c r="S52" s="91">
        <v>0</v>
      </c>
      <c r="T52" s="91">
        <v>0</v>
      </c>
      <c r="U52" s="91">
        <v>0</v>
      </c>
      <c r="V52" s="91">
        <v>0</v>
      </c>
      <c r="W52" s="91">
        <v>0</v>
      </c>
      <c r="X52" s="91">
        <v>0</v>
      </c>
      <c r="Y52" s="91">
        <v>0</v>
      </c>
      <c r="Z52" s="91">
        <v>0</v>
      </c>
      <c r="AA52" s="91">
        <v>0</v>
      </c>
      <c r="AB52" s="347">
        <v>0</v>
      </c>
      <c r="AC52" s="91">
        <v>0</v>
      </c>
      <c r="AF52" s="14"/>
      <c r="AG52" s="14"/>
      <c r="AH52" s="14"/>
    </row>
    <row r="53" spans="1:34" s="30" customFormat="1" x14ac:dyDescent="0.2">
      <c r="A53" s="64" t="s">
        <v>137</v>
      </c>
      <c r="B53" s="87">
        <v>0</v>
      </c>
      <c r="C53" s="87">
        <v>0</v>
      </c>
      <c r="D53" s="87">
        <v>0</v>
      </c>
      <c r="E53" s="87">
        <v>0</v>
      </c>
      <c r="F53" s="87">
        <v>0</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348">
        <v>0</v>
      </c>
      <c r="AC53" s="87">
        <v>0</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15</v>
      </c>
      <c r="C55" s="41">
        <f t="shared" si="26"/>
        <v>15</v>
      </c>
      <c r="D55" s="41">
        <f t="shared" si="26"/>
        <v>15</v>
      </c>
      <c r="E55" s="41">
        <f t="shared" si="26"/>
        <v>15</v>
      </c>
      <c r="F55" s="41">
        <f t="shared" si="26"/>
        <v>15</v>
      </c>
      <c r="G55" s="41">
        <f t="shared" si="26"/>
        <v>15</v>
      </c>
      <c r="H55" s="41">
        <f t="shared" si="26"/>
        <v>15</v>
      </c>
      <c r="I55" s="41">
        <f t="shared" si="26"/>
        <v>15</v>
      </c>
      <c r="J55" s="41">
        <f t="shared" si="26"/>
        <v>15</v>
      </c>
      <c r="K55" s="41">
        <f t="shared" si="26"/>
        <v>15</v>
      </c>
      <c r="L55" s="41">
        <f t="shared" si="26"/>
        <v>15</v>
      </c>
      <c r="M55" s="41">
        <f t="shared" si="26"/>
        <v>15</v>
      </c>
      <c r="N55" s="41">
        <f t="shared" si="26"/>
        <v>15</v>
      </c>
      <c r="O55" s="41">
        <f t="shared" si="26"/>
        <v>15</v>
      </c>
      <c r="P55" s="41">
        <f t="shared" si="26"/>
        <v>15</v>
      </c>
      <c r="Q55" s="41">
        <f t="shared" si="26"/>
        <v>15</v>
      </c>
      <c r="R55" s="41">
        <f t="shared" si="26"/>
        <v>15</v>
      </c>
      <c r="S55" s="41">
        <f t="shared" si="26"/>
        <v>15</v>
      </c>
      <c r="T55" s="41">
        <f t="shared" si="26"/>
        <v>15</v>
      </c>
      <c r="U55" s="41">
        <f t="shared" si="26"/>
        <v>15</v>
      </c>
      <c r="V55" s="41">
        <f t="shared" si="26"/>
        <v>15</v>
      </c>
      <c r="W55" s="41">
        <f t="shared" si="26"/>
        <v>15</v>
      </c>
      <c r="X55" s="41">
        <f t="shared" si="26"/>
        <v>15</v>
      </c>
      <c r="Y55" s="41">
        <f t="shared" si="26"/>
        <v>15</v>
      </c>
      <c r="Z55" s="41">
        <f t="shared" si="26"/>
        <v>15</v>
      </c>
      <c r="AA55" s="41">
        <f t="shared" si="26"/>
        <v>15</v>
      </c>
      <c r="AB55" s="349">
        <f t="shared" si="26"/>
        <v>15</v>
      </c>
      <c r="AC55" s="112">
        <f t="shared" si="26"/>
        <v>15</v>
      </c>
    </row>
    <row r="56" spans="1:34" x14ac:dyDescent="0.2">
      <c r="A56" s="42" t="s">
        <v>140</v>
      </c>
      <c r="B56" s="43">
        <f t="shared" ref="B56:AC56" si="27">ROUNDUP(IF(B$13="Deploy",MAX((B$89/100)*$B96,$B96),(B$89/100)*$B96),0)</f>
        <v>6</v>
      </c>
      <c r="C56" s="43">
        <f t="shared" si="27"/>
        <v>6</v>
      </c>
      <c r="D56" s="43">
        <f t="shared" si="27"/>
        <v>6</v>
      </c>
      <c r="E56" s="43">
        <f t="shared" si="27"/>
        <v>6</v>
      </c>
      <c r="F56" s="43">
        <f t="shared" si="27"/>
        <v>6</v>
      </c>
      <c r="G56" s="43">
        <f t="shared" si="27"/>
        <v>6</v>
      </c>
      <c r="H56" s="43">
        <f t="shared" si="27"/>
        <v>7</v>
      </c>
      <c r="I56" s="43">
        <f t="shared" si="27"/>
        <v>9</v>
      </c>
      <c r="J56" s="43">
        <f t="shared" si="27"/>
        <v>10</v>
      </c>
      <c r="K56" s="43">
        <f t="shared" si="27"/>
        <v>10</v>
      </c>
      <c r="L56" s="43">
        <f t="shared" si="27"/>
        <v>12</v>
      </c>
      <c r="M56" s="43">
        <f t="shared" si="27"/>
        <v>13</v>
      </c>
      <c r="N56" s="43">
        <f t="shared" si="27"/>
        <v>13</v>
      </c>
      <c r="O56" s="43">
        <f t="shared" si="27"/>
        <v>13</v>
      </c>
      <c r="P56" s="43">
        <f t="shared" si="27"/>
        <v>13</v>
      </c>
      <c r="Q56" s="43">
        <f t="shared" si="27"/>
        <v>13</v>
      </c>
      <c r="R56" s="43">
        <f t="shared" si="27"/>
        <v>15</v>
      </c>
      <c r="S56" s="43">
        <f t="shared" si="27"/>
        <v>15</v>
      </c>
      <c r="T56" s="43">
        <f t="shared" si="27"/>
        <v>15</v>
      </c>
      <c r="U56" s="43">
        <f t="shared" si="27"/>
        <v>15</v>
      </c>
      <c r="V56" s="43">
        <f t="shared" si="27"/>
        <v>15</v>
      </c>
      <c r="W56" s="43">
        <f t="shared" si="27"/>
        <v>15</v>
      </c>
      <c r="X56" s="43">
        <f t="shared" si="27"/>
        <v>15</v>
      </c>
      <c r="Y56" s="43">
        <f t="shared" si="27"/>
        <v>14</v>
      </c>
      <c r="Z56" s="43">
        <f t="shared" si="27"/>
        <v>13</v>
      </c>
      <c r="AA56" s="43">
        <f t="shared" si="27"/>
        <v>13</v>
      </c>
      <c r="AB56" s="350">
        <f t="shared" si="27"/>
        <v>13</v>
      </c>
      <c r="AC56" s="43">
        <f t="shared" si="27"/>
        <v>6</v>
      </c>
    </row>
    <row r="57" spans="1:34" x14ac:dyDescent="0.2">
      <c r="A57" s="66" t="s">
        <v>141</v>
      </c>
      <c r="B57" s="69">
        <f>B55</f>
        <v>15</v>
      </c>
      <c r="C57" s="69">
        <f t="shared" ref="C57:AB58" si="28">C55</f>
        <v>15</v>
      </c>
      <c r="D57" s="69">
        <f t="shared" si="28"/>
        <v>15</v>
      </c>
      <c r="E57" s="69">
        <f t="shared" si="28"/>
        <v>15</v>
      </c>
      <c r="F57" s="69">
        <f t="shared" si="28"/>
        <v>15</v>
      </c>
      <c r="G57" s="69">
        <f t="shared" si="28"/>
        <v>15</v>
      </c>
      <c r="H57" s="69">
        <f t="shared" si="28"/>
        <v>15</v>
      </c>
      <c r="I57" s="69">
        <f t="shared" si="28"/>
        <v>15</v>
      </c>
      <c r="J57" s="69">
        <f t="shared" si="28"/>
        <v>15</v>
      </c>
      <c r="K57" s="69">
        <f t="shared" si="28"/>
        <v>15</v>
      </c>
      <c r="L57" s="69">
        <f t="shared" si="28"/>
        <v>15</v>
      </c>
      <c r="M57" s="69">
        <f t="shared" si="28"/>
        <v>15</v>
      </c>
      <c r="N57" s="69">
        <f t="shared" si="28"/>
        <v>15</v>
      </c>
      <c r="O57" s="69">
        <f t="shared" si="28"/>
        <v>15</v>
      </c>
      <c r="P57" s="69">
        <f t="shared" si="28"/>
        <v>15</v>
      </c>
      <c r="Q57" s="69">
        <f t="shared" si="28"/>
        <v>15</v>
      </c>
      <c r="R57" s="69">
        <f t="shared" si="28"/>
        <v>15</v>
      </c>
      <c r="S57" s="69">
        <f t="shared" si="28"/>
        <v>15</v>
      </c>
      <c r="T57" s="69">
        <f t="shared" si="28"/>
        <v>15</v>
      </c>
      <c r="U57" s="69">
        <f t="shared" si="28"/>
        <v>15</v>
      </c>
      <c r="V57" s="69">
        <f t="shared" si="28"/>
        <v>15</v>
      </c>
      <c r="W57" s="69">
        <f t="shared" si="28"/>
        <v>15</v>
      </c>
      <c r="X57" s="69">
        <f t="shared" si="28"/>
        <v>15</v>
      </c>
      <c r="Y57" s="69">
        <f t="shared" si="28"/>
        <v>15</v>
      </c>
      <c r="Z57" s="69">
        <f t="shared" si="28"/>
        <v>15</v>
      </c>
      <c r="AA57" s="69">
        <f t="shared" si="28"/>
        <v>15</v>
      </c>
      <c r="AB57" s="351">
        <f t="shared" si="28"/>
        <v>15</v>
      </c>
      <c r="AC57" s="69">
        <f>AC55</f>
        <v>15</v>
      </c>
    </row>
    <row r="58" spans="1:34" x14ac:dyDescent="0.2">
      <c r="A58" s="78" t="s">
        <v>142</v>
      </c>
      <c r="B58" s="79">
        <f>C58</f>
        <v>6</v>
      </c>
      <c r="C58" s="79">
        <f>D58</f>
        <v>6</v>
      </c>
      <c r="D58" s="79">
        <f t="shared" si="28"/>
        <v>6</v>
      </c>
      <c r="E58" s="79">
        <f t="shared" si="28"/>
        <v>6</v>
      </c>
      <c r="F58" s="79">
        <f t="shared" si="28"/>
        <v>6</v>
      </c>
      <c r="G58" s="79">
        <f t="shared" si="28"/>
        <v>6</v>
      </c>
      <c r="H58" s="79">
        <f t="shared" si="28"/>
        <v>7</v>
      </c>
      <c r="I58" s="79">
        <f t="shared" si="28"/>
        <v>9</v>
      </c>
      <c r="J58" s="79">
        <f t="shared" si="28"/>
        <v>10</v>
      </c>
      <c r="K58" s="79">
        <f t="shared" si="28"/>
        <v>10</v>
      </c>
      <c r="L58" s="79">
        <f t="shared" si="28"/>
        <v>12</v>
      </c>
      <c r="M58" s="79">
        <f t="shared" si="28"/>
        <v>13</v>
      </c>
      <c r="N58" s="79">
        <f t="shared" si="28"/>
        <v>13</v>
      </c>
      <c r="O58" s="79">
        <f t="shared" si="28"/>
        <v>13</v>
      </c>
      <c r="P58" s="79">
        <f t="shared" si="28"/>
        <v>13</v>
      </c>
      <c r="Q58" s="79">
        <f t="shared" si="28"/>
        <v>13</v>
      </c>
      <c r="R58" s="79">
        <f t="shared" si="28"/>
        <v>15</v>
      </c>
      <c r="S58" s="79">
        <f t="shared" si="28"/>
        <v>15</v>
      </c>
      <c r="T58" s="79">
        <f t="shared" si="28"/>
        <v>15</v>
      </c>
      <c r="U58" s="79">
        <f t="shared" si="28"/>
        <v>15</v>
      </c>
      <c r="V58" s="79">
        <f t="shared" si="28"/>
        <v>15</v>
      </c>
      <c r="W58" s="79">
        <f t="shared" si="28"/>
        <v>15</v>
      </c>
      <c r="X58" s="79">
        <f t="shared" si="28"/>
        <v>15</v>
      </c>
      <c r="Y58" s="79">
        <f t="shared" si="28"/>
        <v>14</v>
      </c>
      <c r="Z58" s="79">
        <f t="shared" si="28"/>
        <v>13</v>
      </c>
      <c r="AA58" s="79">
        <f t="shared" si="28"/>
        <v>13</v>
      </c>
      <c r="AB58" s="352">
        <f t="shared" si="28"/>
        <v>13</v>
      </c>
      <c r="AC58" s="79">
        <f>AC56</f>
        <v>6</v>
      </c>
    </row>
    <row r="59" spans="1:34" x14ac:dyDescent="0.2">
      <c r="A59" s="42" t="str">
        <f>A99</f>
        <v>&gt; L4 Pilots</v>
      </c>
      <c r="B59" s="197">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73" si="30">A100</f>
        <v>&gt; L3 Pilots</v>
      </c>
      <c r="B60" s="197">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197">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197">
        <f t="shared" ref="B62:AC62" si="33">ROUNDUP(IF(B$13="Deploy",MAX((B$89/100)*$B102,$B102),(B$89/100)*$B102),0)</f>
        <v>6</v>
      </c>
      <c r="C62" s="43">
        <f t="shared" si="33"/>
        <v>6</v>
      </c>
      <c r="D62" s="43">
        <f t="shared" si="33"/>
        <v>6</v>
      </c>
      <c r="E62" s="43">
        <f t="shared" si="33"/>
        <v>6</v>
      </c>
      <c r="F62" s="43">
        <f t="shared" si="33"/>
        <v>6</v>
      </c>
      <c r="G62" s="43">
        <f t="shared" si="33"/>
        <v>6</v>
      </c>
      <c r="H62" s="43">
        <f t="shared" si="33"/>
        <v>7</v>
      </c>
      <c r="I62" s="43">
        <f t="shared" si="33"/>
        <v>9</v>
      </c>
      <c r="J62" s="43">
        <f t="shared" si="33"/>
        <v>10</v>
      </c>
      <c r="K62" s="43">
        <f t="shared" si="33"/>
        <v>10</v>
      </c>
      <c r="L62" s="43">
        <f t="shared" si="33"/>
        <v>12</v>
      </c>
      <c r="M62" s="43">
        <f t="shared" si="33"/>
        <v>13</v>
      </c>
      <c r="N62" s="43">
        <f t="shared" si="33"/>
        <v>13</v>
      </c>
      <c r="O62" s="43">
        <f t="shared" si="33"/>
        <v>13</v>
      </c>
      <c r="P62" s="43">
        <f t="shared" si="33"/>
        <v>13</v>
      </c>
      <c r="Q62" s="43">
        <f t="shared" si="33"/>
        <v>13</v>
      </c>
      <c r="R62" s="43">
        <f t="shared" si="33"/>
        <v>15</v>
      </c>
      <c r="S62" s="43">
        <f t="shared" si="33"/>
        <v>15</v>
      </c>
      <c r="T62" s="43">
        <f t="shared" si="33"/>
        <v>15</v>
      </c>
      <c r="U62" s="43">
        <f t="shared" si="33"/>
        <v>15</v>
      </c>
      <c r="V62" s="43">
        <f t="shared" si="33"/>
        <v>15</v>
      </c>
      <c r="W62" s="43">
        <f t="shared" si="33"/>
        <v>15</v>
      </c>
      <c r="X62" s="43">
        <f t="shared" si="33"/>
        <v>15</v>
      </c>
      <c r="Y62" s="43">
        <f t="shared" si="33"/>
        <v>14</v>
      </c>
      <c r="Z62" s="43">
        <f t="shared" si="33"/>
        <v>13</v>
      </c>
      <c r="AA62" s="43">
        <f t="shared" si="33"/>
        <v>13</v>
      </c>
      <c r="AB62" s="350">
        <f t="shared" si="33"/>
        <v>13</v>
      </c>
      <c r="AC62" s="43">
        <f t="shared" si="33"/>
        <v>6</v>
      </c>
    </row>
    <row r="63" spans="1:34" s="21" customFormat="1" x14ac:dyDescent="0.2">
      <c r="A63" s="42" t="str">
        <f t="shared" si="30"/>
        <v>&gt; L4 WSO</v>
      </c>
      <c r="B63" s="197">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197">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197">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197">
        <f t="shared" ref="B66:AC66" si="37">ROUNDUP(IF(B$13="Deploy",MAX((B$89/100)*$B106,$B106),(B$89/100)*$B106),0)</f>
        <v>6</v>
      </c>
      <c r="C66" s="43">
        <f t="shared" si="37"/>
        <v>6</v>
      </c>
      <c r="D66" s="43">
        <f t="shared" si="37"/>
        <v>6</v>
      </c>
      <c r="E66" s="43">
        <f t="shared" si="37"/>
        <v>6</v>
      </c>
      <c r="F66" s="43">
        <f t="shared" si="37"/>
        <v>6</v>
      </c>
      <c r="G66" s="43">
        <f t="shared" si="37"/>
        <v>6</v>
      </c>
      <c r="H66" s="43">
        <f t="shared" si="37"/>
        <v>7</v>
      </c>
      <c r="I66" s="43">
        <f t="shared" si="37"/>
        <v>9</v>
      </c>
      <c r="J66" s="43">
        <f t="shared" si="37"/>
        <v>10</v>
      </c>
      <c r="K66" s="43">
        <f t="shared" si="37"/>
        <v>10</v>
      </c>
      <c r="L66" s="43">
        <f t="shared" si="37"/>
        <v>12</v>
      </c>
      <c r="M66" s="43">
        <f t="shared" si="37"/>
        <v>13</v>
      </c>
      <c r="N66" s="43">
        <f t="shared" si="37"/>
        <v>13</v>
      </c>
      <c r="O66" s="43">
        <f t="shared" si="37"/>
        <v>13</v>
      </c>
      <c r="P66" s="43">
        <f t="shared" si="37"/>
        <v>13</v>
      </c>
      <c r="Q66" s="43">
        <f t="shared" si="37"/>
        <v>13</v>
      </c>
      <c r="R66" s="43">
        <f t="shared" si="37"/>
        <v>15</v>
      </c>
      <c r="S66" s="43">
        <f t="shared" si="37"/>
        <v>15</v>
      </c>
      <c r="T66" s="43">
        <f t="shared" si="37"/>
        <v>15</v>
      </c>
      <c r="U66" s="43">
        <f t="shared" si="37"/>
        <v>15</v>
      </c>
      <c r="V66" s="43">
        <f t="shared" si="37"/>
        <v>15</v>
      </c>
      <c r="W66" s="43">
        <f t="shared" si="37"/>
        <v>15</v>
      </c>
      <c r="X66" s="43">
        <f t="shared" si="37"/>
        <v>15</v>
      </c>
      <c r="Y66" s="43">
        <f t="shared" si="37"/>
        <v>14</v>
      </c>
      <c r="Z66" s="43">
        <f t="shared" si="37"/>
        <v>13</v>
      </c>
      <c r="AA66" s="43">
        <f t="shared" si="37"/>
        <v>13</v>
      </c>
      <c r="AB66" s="350">
        <f t="shared" si="37"/>
        <v>13</v>
      </c>
      <c r="AC66" s="43">
        <f t="shared" si="37"/>
        <v>6</v>
      </c>
    </row>
    <row r="67" spans="1:47" s="21" customFormat="1" x14ac:dyDescent="0.2">
      <c r="A67" s="42" t="str">
        <f t="shared" si="30"/>
        <v>NVG Qual - Pilot</v>
      </c>
      <c r="B67" s="197">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21" customFormat="1" x14ac:dyDescent="0.2">
      <c r="A68" s="42" t="str">
        <f t="shared" si="30"/>
        <v>NVG Qual - WSO</v>
      </c>
      <c r="B68" s="197">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21" customFormat="1" x14ac:dyDescent="0.2">
      <c r="A69" s="42" t="str">
        <f t="shared" si="30"/>
        <v>JHMCS Qual - Pilot</v>
      </c>
      <c r="B69" s="197">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21" customFormat="1" x14ac:dyDescent="0.2">
      <c r="A70" s="42" t="str">
        <f t="shared" si="30"/>
        <v>JMPS SME</v>
      </c>
      <c r="B70" s="197">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21" customFormat="1" x14ac:dyDescent="0.2">
      <c r="A71" s="42" t="str">
        <f t="shared" si="30"/>
        <v xml:space="preserve">CVW STK LEAD </v>
      </c>
      <c r="B71" s="197">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21" customFormat="1" x14ac:dyDescent="0.2">
      <c r="A72" s="42" t="str">
        <f t="shared" si="30"/>
        <v>FAC(A) - Pilot</v>
      </c>
      <c r="B72" s="197">
        <f t="shared" ref="B72:AB72" si="43">ROUNDUP(IF(B$13="Deploy",MAX((B$89/100)*$B112,$B112),(B$89/100)*$B112),0)</f>
        <v>2</v>
      </c>
      <c r="C72" s="43">
        <f t="shared" si="43"/>
        <v>2</v>
      </c>
      <c r="D72" s="43">
        <f t="shared" si="43"/>
        <v>2</v>
      </c>
      <c r="E72" s="43">
        <f t="shared" si="43"/>
        <v>2</v>
      </c>
      <c r="F72" s="43">
        <f t="shared" si="43"/>
        <v>2</v>
      </c>
      <c r="G72" s="43">
        <f t="shared" si="43"/>
        <v>2</v>
      </c>
      <c r="H72" s="43">
        <f t="shared" si="43"/>
        <v>2</v>
      </c>
      <c r="I72" s="43">
        <f t="shared" si="43"/>
        <v>3</v>
      </c>
      <c r="J72" s="43">
        <f t="shared" si="43"/>
        <v>3</v>
      </c>
      <c r="K72" s="43">
        <f t="shared" si="43"/>
        <v>3</v>
      </c>
      <c r="L72" s="43">
        <f t="shared" si="43"/>
        <v>3</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21" customFormat="1" x14ac:dyDescent="0.2">
      <c r="A73" s="42" t="str">
        <f t="shared" si="30"/>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21"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7</v>
      </c>
      <c r="J74" s="43">
        <f t="shared" si="45"/>
        <v>8</v>
      </c>
      <c r="K74" s="43">
        <f t="shared" si="45"/>
        <v>8</v>
      </c>
      <c r="L74" s="43">
        <f t="shared" si="45"/>
        <v>9</v>
      </c>
      <c r="M74" s="43">
        <f t="shared" si="45"/>
        <v>11</v>
      </c>
      <c r="N74" s="43">
        <f t="shared" si="45"/>
        <v>11</v>
      </c>
      <c r="O74" s="43">
        <f t="shared" si="45"/>
        <v>11</v>
      </c>
      <c r="P74" s="43">
        <f t="shared" si="45"/>
        <v>11</v>
      </c>
      <c r="Q74" s="43">
        <f t="shared" si="45"/>
        <v>11</v>
      </c>
      <c r="R74" s="43">
        <f t="shared" si="45"/>
        <v>12</v>
      </c>
      <c r="S74" s="43">
        <f t="shared" si="45"/>
        <v>12</v>
      </c>
      <c r="T74" s="43">
        <f t="shared" si="45"/>
        <v>12</v>
      </c>
      <c r="U74" s="43">
        <f t="shared" si="45"/>
        <v>12</v>
      </c>
      <c r="V74" s="43">
        <f t="shared" si="45"/>
        <v>12</v>
      </c>
      <c r="W74" s="43">
        <f t="shared" si="45"/>
        <v>12</v>
      </c>
      <c r="X74" s="43">
        <f t="shared" si="45"/>
        <v>12</v>
      </c>
      <c r="Y74" s="43">
        <f t="shared" si="45"/>
        <v>11</v>
      </c>
      <c r="Z74" s="43">
        <f t="shared" si="45"/>
        <v>11</v>
      </c>
      <c r="AA74" s="43">
        <f t="shared" si="45"/>
        <v>11</v>
      </c>
      <c r="AB74" s="350">
        <f t="shared" si="45"/>
        <v>10</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X79" s="14"/>
      <c r="Y79" s="14"/>
      <c r="Z79" s="14"/>
      <c r="AA79" s="14"/>
      <c r="AB79" s="14"/>
      <c r="AC79" s="21"/>
      <c r="AD79" s="21"/>
      <c r="AE79" s="21"/>
      <c r="AH79" s="21"/>
      <c r="AI79" s="21"/>
      <c r="AJ79" s="21"/>
      <c r="AK79" s="21"/>
      <c r="AL79" s="21"/>
      <c r="AM79" s="21"/>
      <c r="AN79" s="21"/>
      <c r="AO79" s="21"/>
      <c r="AP79" s="21"/>
      <c r="AQ79" s="21"/>
      <c r="AR79" s="21"/>
    </row>
    <row r="80" spans="1:47" x14ac:dyDescent="0.2">
      <c r="A80" s="14"/>
      <c r="B80" s="30"/>
      <c r="C80" s="30"/>
      <c r="AC80" s="21"/>
      <c r="AD80" s="21"/>
      <c r="AE80" s="21"/>
      <c r="AH80" s="21"/>
      <c r="AI80" s="21"/>
      <c r="AJ80" s="21"/>
      <c r="AK80" s="21"/>
      <c r="AL80" s="21"/>
      <c r="AM80" s="21"/>
      <c r="AN80" s="21"/>
      <c r="AO80" s="21"/>
      <c r="AP80" s="21"/>
      <c r="AQ80" s="21"/>
      <c r="AR80" s="21"/>
    </row>
    <row r="81" spans="1:36" x14ac:dyDescent="0.2">
      <c r="B81" s="30"/>
      <c r="C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6">MIN(100,B86+$B$90)</f>
        <v>45.901136923127005</v>
      </c>
      <c r="C84" s="45">
        <f t="shared" si="46"/>
        <v>45.901136923127005</v>
      </c>
      <c r="D84" s="45">
        <f t="shared" si="46"/>
        <v>45.901136923127005</v>
      </c>
      <c r="E84" s="45">
        <f t="shared" si="46"/>
        <v>45.901136923127005</v>
      </c>
      <c r="F84" s="45">
        <f t="shared" si="46"/>
        <v>45.901136923127005</v>
      </c>
      <c r="G84" s="45">
        <f t="shared" si="46"/>
        <v>53.901136923127005</v>
      </c>
      <c r="H84" s="45">
        <f t="shared" si="46"/>
        <v>55.901136923127005</v>
      </c>
      <c r="I84" s="45">
        <f t="shared" si="46"/>
        <v>55.901136923127005</v>
      </c>
      <c r="J84" s="45">
        <f t="shared" si="46"/>
        <v>65.901136923127012</v>
      </c>
      <c r="K84" s="45">
        <f t="shared" si="46"/>
        <v>90.901136923127012</v>
      </c>
      <c r="L84" s="45">
        <f t="shared" si="46"/>
        <v>100</v>
      </c>
      <c r="M84" s="45">
        <f t="shared" si="46"/>
        <v>100</v>
      </c>
      <c r="N84" s="45">
        <f t="shared" si="46"/>
        <v>100</v>
      </c>
      <c r="O84" s="45">
        <f t="shared" si="46"/>
        <v>100</v>
      </c>
      <c r="P84" s="45">
        <f t="shared" si="46"/>
        <v>100</v>
      </c>
      <c r="Q84" s="45">
        <f t="shared" si="46"/>
        <v>100</v>
      </c>
      <c r="R84" s="45">
        <f t="shared" si="46"/>
        <v>100</v>
      </c>
      <c r="S84" s="45">
        <f t="shared" si="46"/>
        <v>100</v>
      </c>
      <c r="T84" s="45">
        <f t="shared" si="46"/>
        <v>100</v>
      </c>
      <c r="U84" s="45">
        <f t="shared" si="46"/>
        <v>100</v>
      </c>
      <c r="V84" s="45">
        <f t="shared" si="46"/>
        <v>100</v>
      </c>
      <c r="W84" s="45">
        <f t="shared" si="46"/>
        <v>100</v>
      </c>
      <c r="X84" s="45">
        <f t="shared" si="46"/>
        <v>100</v>
      </c>
      <c r="Y84" s="45">
        <f t="shared" si="46"/>
        <v>100</v>
      </c>
      <c r="Z84" s="45">
        <f t="shared" si="46"/>
        <v>100</v>
      </c>
      <c r="AA84" s="45">
        <f t="shared" si="46"/>
        <v>100</v>
      </c>
      <c r="AB84" s="46">
        <f t="shared" si="46"/>
        <v>100</v>
      </c>
      <c r="AC84" s="124">
        <f t="shared" si="46"/>
        <v>45.901136923127005</v>
      </c>
      <c r="AI84" s="97"/>
      <c r="AJ84" s="97"/>
    </row>
    <row r="85" spans="1:36"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1"/>
      <c r="AE87" s="21"/>
      <c r="AF87" s="22"/>
      <c r="AG87" s="12"/>
      <c r="AH87" s="23"/>
      <c r="AI87" s="97"/>
      <c r="AJ87" s="97"/>
    </row>
    <row r="88" spans="1:36"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15</v>
      </c>
      <c r="D95" s="30"/>
      <c r="E95" s="30"/>
      <c r="F95" s="30"/>
      <c r="AI95" s="97"/>
      <c r="AJ95" s="97"/>
    </row>
    <row r="96" spans="1:36" x14ac:dyDescent="0.2">
      <c r="A96" s="50" t="s">
        <v>140</v>
      </c>
      <c r="B96" s="51">
        <v>15</v>
      </c>
      <c r="AI96" s="97"/>
      <c r="AJ96" s="97"/>
    </row>
    <row r="97" spans="1:36" x14ac:dyDescent="0.2">
      <c r="A97" s="75" t="s">
        <v>141</v>
      </c>
      <c r="B97" s="77">
        <v>15</v>
      </c>
      <c r="AI97" s="97"/>
      <c r="AJ97" s="97"/>
    </row>
    <row r="98" spans="1:36" x14ac:dyDescent="0.2">
      <c r="A98" s="50" t="s">
        <v>142</v>
      </c>
      <c r="B98" s="51">
        <v>15</v>
      </c>
      <c r="AI98" s="97"/>
      <c r="AJ98" s="97"/>
    </row>
    <row r="99" spans="1:36" x14ac:dyDescent="0.2">
      <c r="A99" s="50" t="s">
        <v>158</v>
      </c>
      <c r="B99" s="51">
        <v>5</v>
      </c>
      <c r="E99" s="73"/>
      <c r="F99" s="21"/>
      <c r="AI99" s="97"/>
      <c r="AJ99" s="97"/>
    </row>
    <row r="100" spans="1:36" x14ac:dyDescent="0.2">
      <c r="A100" s="50" t="s">
        <v>159</v>
      </c>
      <c r="B100" s="51">
        <v>7</v>
      </c>
      <c r="E100" s="74"/>
      <c r="AI100" s="97"/>
      <c r="AJ100" s="97"/>
    </row>
    <row r="101" spans="1:36" x14ac:dyDescent="0.2">
      <c r="A101" s="50" t="s">
        <v>160</v>
      </c>
      <c r="B101" s="51">
        <v>12</v>
      </c>
      <c r="E101" s="74"/>
      <c r="AI101" s="97"/>
      <c r="AJ101" s="97"/>
    </row>
    <row r="102" spans="1:36" x14ac:dyDescent="0.2">
      <c r="A102" s="50" t="s">
        <v>161</v>
      </c>
      <c r="B102" s="51">
        <v>15</v>
      </c>
      <c r="E102" s="73"/>
      <c r="F102" s="21"/>
      <c r="AI102" s="97"/>
      <c r="AJ102" s="97"/>
    </row>
    <row r="103" spans="1:36" x14ac:dyDescent="0.2">
      <c r="A103" s="50" t="s">
        <v>162</v>
      </c>
      <c r="B103" s="51">
        <v>5</v>
      </c>
      <c r="E103" s="74"/>
      <c r="AI103" s="97"/>
      <c r="AJ103" s="97"/>
    </row>
    <row r="104" spans="1:36" x14ac:dyDescent="0.2">
      <c r="A104" s="50" t="s">
        <v>163</v>
      </c>
      <c r="B104" s="51">
        <v>7</v>
      </c>
      <c r="E104" s="74"/>
      <c r="AI104" s="97"/>
      <c r="AJ104" s="97"/>
    </row>
    <row r="105" spans="1:36" x14ac:dyDescent="0.2">
      <c r="A105" s="50" t="s">
        <v>164</v>
      </c>
      <c r="B105" s="51">
        <v>12</v>
      </c>
      <c r="E105" s="74"/>
      <c r="AI105" s="97"/>
      <c r="AJ105" s="97"/>
    </row>
    <row r="106" spans="1:36" s="97" customFormat="1" x14ac:dyDescent="0.2">
      <c r="A106" s="50" t="s">
        <v>165</v>
      </c>
      <c r="B106" s="51">
        <v>15</v>
      </c>
      <c r="E106" s="73"/>
      <c r="F106" s="21"/>
      <c r="AB106" s="109"/>
      <c r="AC106" s="4"/>
      <c r="AD106" s="4"/>
    </row>
    <row r="107" spans="1:36" x14ac:dyDescent="0.2">
      <c r="A107" s="50" t="s">
        <v>166</v>
      </c>
      <c r="B107" s="51">
        <v>12</v>
      </c>
      <c r="E107" s="74"/>
      <c r="AI107" s="97"/>
      <c r="AJ107" s="97"/>
    </row>
    <row r="108" spans="1:36" x14ac:dyDescent="0.2">
      <c r="A108" s="50" t="s">
        <v>167</v>
      </c>
      <c r="B108" s="51">
        <v>12</v>
      </c>
      <c r="E108" s="74"/>
      <c r="AI108" s="97"/>
      <c r="AJ108" s="97"/>
    </row>
    <row r="109" spans="1:36" x14ac:dyDescent="0.2">
      <c r="A109" s="50" t="s">
        <v>168</v>
      </c>
      <c r="B109" s="51">
        <v>12</v>
      </c>
      <c r="E109" s="74"/>
      <c r="AI109" s="97"/>
      <c r="AJ109" s="97"/>
    </row>
    <row r="110" spans="1:36" x14ac:dyDescent="0.2">
      <c r="A110" s="50" t="s">
        <v>169</v>
      </c>
      <c r="B110" s="51">
        <v>3</v>
      </c>
      <c r="D110" s="97"/>
      <c r="E110" s="74"/>
    </row>
    <row r="111" spans="1:36" x14ac:dyDescent="0.2">
      <c r="A111" s="50" t="s">
        <v>170</v>
      </c>
      <c r="B111" s="51">
        <v>3</v>
      </c>
      <c r="E111" s="73"/>
      <c r="F111" s="21"/>
      <c r="AI111" s="97"/>
      <c r="AJ111" s="97"/>
    </row>
    <row r="112" spans="1:36" x14ac:dyDescent="0.2">
      <c r="A112" s="50" t="s">
        <v>171</v>
      </c>
      <c r="B112" s="51">
        <v>4</v>
      </c>
      <c r="E112" s="74"/>
      <c r="AI112" s="97"/>
      <c r="AJ112" s="97"/>
    </row>
    <row r="113" spans="1:38" x14ac:dyDescent="0.2">
      <c r="A113" s="50" t="s">
        <v>172</v>
      </c>
      <c r="B113" s="51">
        <v>4</v>
      </c>
      <c r="E113" s="74"/>
      <c r="AI113" s="97"/>
      <c r="AJ113" s="97"/>
    </row>
    <row r="114" spans="1:38" ht="12.75" thickBot="1" x14ac:dyDescent="0.25">
      <c r="A114" s="53" t="s">
        <v>173</v>
      </c>
      <c r="B114" s="54">
        <v>12</v>
      </c>
      <c r="E114" s="74"/>
      <c r="F114" s="97"/>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10</v>
      </c>
      <c r="C122" s="160">
        <v>10</v>
      </c>
      <c r="D122" s="162">
        <v>9</v>
      </c>
      <c r="E122" s="162">
        <v>7</v>
      </c>
      <c r="F122" s="164">
        <v>6</v>
      </c>
      <c r="G122" s="209">
        <v>0</v>
      </c>
    </row>
    <row r="123" spans="1:38" x14ac:dyDescent="0.2">
      <c r="A123" s="157" t="s">
        <v>185</v>
      </c>
      <c r="B123" s="160">
        <v>10</v>
      </c>
      <c r="C123" s="160">
        <v>8</v>
      </c>
      <c r="D123" s="162">
        <v>7</v>
      </c>
      <c r="E123" s="162">
        <v>5</v>
      </c>
      <c r="F123" s="164">
        <v>4</v>
      </c>
      <c r="G123" s="209">
        <v>0</v>
      </c>
    </row>
    <row r="124" spans="1:38" x14ac:dyDescent="0.2">
      <c r="A124" s="208" t="s">
        <v>122</v>
      </c>
      <c r="B124" s="363"/>
      <c r="C124" s="364"/>
      <c r="D124" s="364"/>
      <c r="E124" s="364"/>
      <c r="F124" s="364"/>
      <c r="G124" s="171"/>
    </row>
    <row r="125" spans="1:38" ht="12.75" x14ac:dyDescent="0.2">
      <c r="A125" s="240" t="s">
        <v>123</v>
      </c>
      <c r="B125" s="213">
        <v>10</v>
      </c>
      <c r="C125" s="160">
        <f>ROUND(R39,0)</f>
        <v>6</v>
      </c>
      <c r="D125" s="162">
        <f t="shared" ref="D125:D134" si="50">C125-1</f>
        <v>5</v>
      </c>
      <c r="E125" s="162">
        <f>ROUND(H39,0)</f>
        <v>4</v>
      </c>
      <c r="F125" s="164">
        <v>3</v>
      </c>
      <c r="G125" s="165">
        <v>0</v>
      </c>
    </row>
    <row r="126" spans="1:38" ht="12.75" x14ac:dyDescent="0.2">
      <c r="A126" s="240" t="s">
        <v>124</v>
      </c>
      <c r="B126" s="160">
        <v>10</v>
      </c>
      <c r="C126" s="160">
        <f t="shared" ref="C126:C132" si="51">ROUND(R40,0)</f>
        <v>1</v>
      </c>
      <c r="D126" s="162">
        <v>1</v>
      </c>
      <c r="E126" s="162">
        <f>ROUND(H40,0)</f>
        <v>1</v>
      </c>
      <c r="F126" s="164">
        <v>0</v>
      </c>
      <c r="G126" s="209">
        <v>0</v>
      </c>
    </row>
    <row r="127" spans="1:38" ht="12.75" x14ac:dyDescent="0.2">
      <c r="A127" s="240" t="s">
        <v>125</v>
      </c>
      <c r="B127" s="160">
        <v>10</v>
      </c>
      <c r="C127" s="160">
        <f t="shared" si="51"/>
        <v>3</v>
      </c>
      <c r="D127" s="162">
        <f t="shared" si="50"/>
        <v>2</v>
      </c>
      <c r="E127" s="162"/>
      <c r="F127" s="164">
        <v>1</v>
      </c>
      <c r="G127" s="209">
        <v>0</v>
      </c>
    </row>
    <row r="128" spans="1:38" ht="12.75" x14ac:dyDescent="0.2">
      <c r="A128" s="240" t="s">
        <v>126</v>
      </c>
      <c r="B128" s="160">
        <v>10</v>
      </c>
      <c r="C128" s="160">
        <f t="shared" si="51"/>
        <v>5</v>
      </c>
      <c r="D128" s="162">
        <f t="shared" si="50"/>
        <v>4</v>
      </c>
      <c r="E128" s="162">
        <v>3</v>
      </c>
      <c r="F128" s="164">
        <v>2</v>
      </c>
      <c r="G128" s="209">
        <v>0</v>
      </c>
    </row>
    <row r="129" spans="1:7" ht="12.75" x14ac:dyDescent="0.2">
      <c r="A129" s="240" t="s">
        <v>127</v>
      </c>
      <c r="B129" s="160">
        <v>10</v>
      </c>
      <c r="C129" s="160">
        <f t="shared" si="51"/>
        <v>6</v>
      </c>
      <c r="D129" s="162">
        <f t="shared" si="50"/>
        <v>5</v>
      </c>
      <c r="E129" s="162">
        <f>ROUND(H43,0)</f>
        <v>4</v>
      </c>
      <c r="F129" s="164">
        <v>3</v>
      </c>
      <c r="G129" s="209">
        <v>0</v>
      </c>
    </row>
    <row r="130" spans="1:7" ht="12.75" x14ac:dyDescent="0.2">
      <c r="A130" s="240" t="s">
        <v>128</v>
      </c>
      <c r="B130" s="160">
        <v>10</v>
      </c>
      <c r="C130" s="160">
        <f t="shared" si="51"/>
        <v>6</v>
      </c>
      <c r="D130" s="162">
        <f t="shared" si="50"/>
        <v>5</v>
      </c>
      <c r="E130" s="162">
        <f>ROUND(H44,0)</f>
        <v>4</v>
      </c>
      <c r="F130" s="164">
        <v>3</v>
      </c>
      <c r="G130" s="209">
        <v>0</v>
      </c>
    </row>
    <row r="131" spans="1:7" ht="12.75" x14ac:dyDescent="0.2">
      <c r="A131" s="240" t="s">
        <v>129</v>
      </c>
      <c r="B131" s="160">
        <v>10</v>
      </c>
      <c r="C131" s="160">
        <f>ROUNDDOWN(R45,0)</f>
        <v>8</v>
      </c>
      <c r="D131" s="162">
        <f t="shared" si="50"/>
        <v>7</v>
      </c>
      <c r="E131" s="162">
        <f>ROUND(H45,0)</f>
        <v>2</v>
      </c>
      <c r="F131" s="164">
        <v>1</v>
      </c>
      <c r="G131" s="209">
        <v>0</v>
      </c>
    </row>
    <row r="132" spans="1:7" ht="12.75" x14ac:dyDescent="0.2">
      <c r="A132" s="240" t="s">
        <v>130</v>
      </c>
      <c r="B132" s="160">
        <v>10</v>
      </c>
      <c r="C132" s="160">
        <f t="shared" si="51"/>
        <v>6</v>
      </c>
      <c r="D132" s="162">
        <f t="shared" si="50"/>
        <v>5</v>
      </c>
      <c r="E132" s="162">
        <v>4</v>
      </c>
      <c r="F132" s="164">
        <v>3</v>
      </c>
      <c r="G132" s="209">
        <v>0</v>
      </c>
    </row>
    <row r="133" spans="1:7" ht="12.75" x14ac:dyDescent="0.2">
      <c r="A133" s="240" t="s">
        <v>131</v>
      </c>
      <c r="B133" s="160">
        <v>10</v>
      </c>
      <c r="C133" s="160">
        <f>ROUNDDOWN(R47,0)</f>
        <v>8</v>
      </c>
      <c r="D133" s="162">
        <f t="shared" si="50"/>
        <v>7</v>
      </c>
      <c r="E133" s="162">
        <f>ROUND(H47,0)</f>
        <v>2</v>
      </c>
      <c r="F133" s="164">
        <v>1</v>
      </c>
      <c r="G133" s="209">
        <v>0</v>
      </c>
    </row>
    <row r="134" spans="1:7" ht="12.75" x14ac:dyDescent="0.2">
      <c r="A134" s="240" t="s">
        <v>132</v>
      </c>
      <c r="B134" s="160">
        <v>10</v>
      </c>
      <c r="C134" s="160">
        <f>ROUNDDOWN(R48,0)</f>
        <v>8</v>
      </c>
      <c r="D134" s="162">
        <f t="shared" si="50"/>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0">
        <v>8</v>
      </c>
      <c r="C137" s="160">
        <v>6</v>
      </c>
      <c r="D137" s="162">
        <v>5</v>
      </c>
      <c r="E137" s="162">
        <v>3</v>
      </c>
      <c r="F137" s="164">
        <v>2</v>
      </c>
      <c r="G137" s="209">
        <v>0</v>
      </c>
    </row>
    <row r="138" spans="1:7" x14ac:dyDescent="0.2">
      <c r="A138" s="216" t="s">
        <v>186</v>
      </c>
      <c r="B138" s="168" t="s">
        <v>193</v>
      </c>
      <c r="C138" s="168"/>
      <c r="D138" s="217"/>
      <c r="E138" s="217"/>
      <c r="F138" s="218"/>
      <c r="G138" s="219"/>
    </row>
    <row r="139" spans="1:7" ht="12.75" thickBot="1" x14ac:dyDescent="0.25">
      <c r="A139" s="158" t="s">
        <v>187</v>
      </c>
      <c r="B139" s="161" t="s">
        <v>193</v>
      </c>
      <c r="C139" s="161"/>
      <c r="D139" s="163"/>
      <c r="E139" s="163"/>
      <c r="F139" s="166"/>
      <c r="G139" s="215"/>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2">A40</f>
        <v>Ready HARM Support Mission System (D)</v>
      </c>
      <c r="B145" s="342">
        <f>HLOOKUP($B$142,'FA-18EF Mission System Summary'!$B$1:$F$12,4,FALSE)</f>
        <v>0.15186615186615185</v>
      </c>
    </row>
    <row r="146" spans="1:2" x14ac:dyDescent="0.2">
      <c r="A146" s="341" t="str">
        <f t="shared" si="52"/>
        <v>Ready Missile Launch Mission System (E)</v>
      </c>
      <c r="B146" s="342">
        <f>HLOOKUP($B$142,'FA-18EF Mission System Summary'!$B$1:$F$12,5,FALSE)</f>
        <v>0.39761189761189752</v>
      </c>
    </row>
    <row r="147" spans="1:2" x14ac:dyDescent="0.2">
      <c r="A147" s="341" t="str">
        <f t="shared" si="52"/>
        <v>Ready Survivablity Mission System (F)</v>
      </c>
      <c r="B147" s="342">
        <f>HLOOKUP($B$142,'FA-18EF Mission System Summary'!$B$1:$F$12,6,FALSE)</f>
        <v>0.68590018590018564</v>
      </c>
    </row>
    <row r="148" spans="1:2" x14ac:dyDescent="0.2">
      <c r="A148" s="341" t="str">
        <f t="shared" si="52"/>
        <v>Ready Leathality Mission System (G)</v>
      </c>
      <c r="B148" s="342">
        <f>HLOOKUP($B$142,'FA-18EF Mission System Summary'!$B$1:$F$12,7,FALSE)</f>
        <v>0.6974831974831972</v>
      </c>
    </row>
    <row r="149" spans="1:2" x14ac:dyDescent="0.2">
      <c r="A149" s="341" t="str">
        <f t="shared" si="52"/>
        <v>Ready Combat Communications Mission System (H)</v>
      </c>
      <c r="B149" s="342">
        <f>HLOOKUP($B$142,'FA-18EF Mission System Summary'!$B$1:$F$12,8,FALSE)</f>
        <v>0.6974831974831972</v>
      </c>
    </row>
    <row r="150" spans="1:2" x14ac:dyDescent="0.2">
      <c r="A150" s="341" t="str">
        <f t="shared" si="52"/>
        <v>Ready Air to Air Refueling Mission Systems (I)</v>
      </c>
      <c r="B150" s="342">
        <f>HLOOKUP($B$142,'FA-18EF Mission System Summary'!$B$1:$F$12,9,FALSE)</f>
        <v>0.34949234949234942</v>
      </c>
    </row>
    <row r="151" spans="1:2" x14ac:dyDescent="0.2">
      <c r="A151" s="341" t="str">
        <f t="shared" si="52"/>
        <v>Ready Tactical Navigation Mission Systems (J)</v>
      </c>
      <c r="B151" s="342">
        <f>HLOOKUP($B$142,'FA-18EF Mission System Summary'!$B$1:$F$12,10,FALSE)</f>
        <v>0.74445874445874416</v>
      </c>
    </row>
    <row r="152" spans="1:2" x14ac:dyDescent="0.2">
      <c r="A152" s="341" t="str">
        <f t="shared" si="52"/>
        <v>Ready Shipboard Mission Systems (K)</v>
      </c>
      <c r="B152" s="342">
        <f>HLOOKUP($B$142,'FA-18EF Mission System Summary'!$B$1:$F$12,11,FALSE)</f>
        <v>0.32600457600457594</v>
      </c>
    </row>
    <row r="153" spans="1:2" x14ac:dyDescent="0.2">
      <c r="A153" s="341" t="str">
        <f t="shared" si="52"/>
        <v>Ready IMC Flight Mission Systems (L)</v>
      </c>
      <c r="B153" s="342">
        <f>HLOOKUP($B$142,'FA-18EF Mission System Summary'!$B$1:$F$12,12,FALSE)</f>
        <v>1</v>
      </c>
    </row>
  </sheetData>
  <mergeCells count="15">
    <mergeCell ref="B16:E16"/>
    <mergeCell ref="A1:G1"/>
    <mergeCell ref="M1:P1"/>
    <mergeCell ref="A83:AC83"/>
    <mergeCell ref="R16:W16"/>
    <mergeCell ref="X16:AB16"/>
    <mergeCell ref="F16:J16"/>
    <mergeCell ref="K16:M16"/>
    <mergeCell ref="N16:Q16"/>
    <mergeCell ref="B120:C120"/>
    <mergeCell ref="D120:E120"/>
    <mergeCell ref="F120:G120"/>
    <mergeCell ref="A93:B93"/>
    <mergeCell ref="A94:B94"/>
    <mergeCell ref="A116:B116"/>
  </mergeCells>
  <conditionalFormatting sqref="C135">
    <cfRule type="cellIs" dxfId="254" priority="71" operator="equal">
      <formula>B135</formula>
    </cfRule>
  </conditionalFormatting>
  <conditionalFormatting sqref="D135:E135">
    <cfRule type="cellIs" dxfId="253" priority="74" operator="equal">
      <formula>C135</formula>
    </cfRule>
  </conditionalFormatting>
  <conditionalFormatting sqref="F135">
    <cfRule type="cellIs" dxfId="252" priority="72" operator="equal">
      <formula>E135</formula>
    </cfRule>
    <cfRule type="cellIs" dxfId="251" priority="73" operator="equal">
      <formula>G135</formula>
    </cfRule>
  </conditionalFormatting>
  <conditionalFormatting sqref="F122">
    <cfRule type="cellIs" dxfId="250" priority="65" operator="equal">
      <formula>E122</formula>
    </cfRule>
  </conditionalFormatting>
  <conditionalFormatting sqref="E122">
    <cfRule type="cellIs" dxfId="249" priority="64" operator="equal">
      <formula>D122</formula>
    </cfRule>
  </conditionalFormatting>
  <conditionalFormatting sqref="F122">
    <cfRule type="cellIs" dxfId="248" priority="61" operator="equal">
      <formula>E122</formula>
    </cfRule>
  </conditionalFormatting>
  <conditionalFormatting sqref="C122">
    <cfRule type="cellIs" dxfId="247" priority="62" operator="equal">
      <formula>B122</formula>
    </cfRule>
  </conditionalFormatting>
  <conditionalFormatting sqref="E122">
    <cfRule type="cellIs" dxfId="246" priority="60" operator="equal">
      <formula>D122</formula>
    </cfRule>
  </conditionalFormatting>
  <conditionalFormatting sqref="F122">
    <cfRule type="cellIs" dxfId="245" priority="59" operator="equal">
      <formula>E122</formula>
    </cfRule>
  </conditionalFormatting>
  <conditionalFormatting sqref="C122">
    <cfRule type="cellIs" dxfId="244" priority="58" operator="equal">
      <formula>B122</formula>
    </cfRule>
  </conditionalFormatting>
  <conditionalFormatting sqref="D122">
    <cfRule type="cellIs" dxfId="243" priority="57" operator="equal">
      <formula>C122</formula>
    </cfRule>
  </conditionalFormatting>
  <conditionalFormatting sqref="E122">
    <cfRule type="cellIs" dxfId="242" priority="56" operator="equal">
      <formula>D122</formula>
    </cfRule>
  </conditionalFormatting>
  <conditionalFormatting sqref="C122">
    <cfRule type="cellIs" dxfId="241" priority="54" operator="equal">
      <formula>B122</formula>
    </cfRule>
  </conditionalFormatting>
  <conditionalFormatting sqref="D122:E122">
    <cfRule type="cellIs" dxfId="240" priority="66" operator="equal">
      <formula>C122</formula>
    </cfRule>
  </conditionalFormatting>
  <conditionalFormatting sqref="D122">
    <cfRule type="cellIs" dxfId="239" priority="75" operator="equal">
      <formula>C122</formula>
    </cfRule>
  </conditionalFormatting>
  <conditionalFormatting sqref="C136:C137">
    <cfRule type="cellIs" dxfId="238" priority="50" operator="equal">
      <formula>B136</formula>
    </cfRule>
  </conditionalFormatting>
  <conditionalFormatting sqref="D136:E137">
    <cfRule type="cellIs" dxfId="237" priority="53" operator="equal">
      <formula>C136</formula>
    </cfRule>
  </conditionalFormatting>
  <conditionalFormatting sqref="F136:F137">
    <cfRule type="cellIs" dxfId="236" priority="51" operator="equal">
      <formula>E136</formula>
    </cfRule>
    <cfRule type="cellIs" dxfId="235" priority="52" operator="equal">
      <formula>G136</formula>
    </cfRule>
  </conditionalFormatting>
  <conditionalFormatting sqref="C138:C139">
    <cfRule type="cellIs" dxfId="234" priority="44" operator="equal">
      <formula>B138</formula>
    </cfRule>
  </conditionalFormatting>
  <conditionalFormatting sqref="D138:E139">
    <cfRule type="cellIs" dxfId="233" priority="47" operator="equal">
      <formula>C138</formula>
    </cfRule>
  </conditionalFormatting>
  <conditionalFormatting sqref="F138:F139">
    <cfRule type="cellIs" dxfId="232" priority="45" operator="equal">
      <formula>E138</formula>
    </cfRule>
    <cfRule type="cellIs" dxfId="231" priority="46" operator="equal">
      <formula>G138</formula>
    </cfRule>
  </conditionalFormatting>
  <conditionalFormatting sqref="C124">
    <cfRule type="cellIs" dxfId="230" priority="15" operator="equal">
      <formula>B124</formula>
    </cfRule>
  </conditionalFormatting>
  <conditionalFormatting sqref="D124:E124">
    <cfRule type="cellIs" dxfId="229" priority="18" operator="equal">
      <formula>C124</formula>
    </cfRule>
  </conditionalFormatting>
  <conditionalFormatting sqref="F124">
    <cfRule type="cellIs" dxfId="228" priority="16" operator="equal">
      <formula>E124</formula>
    </cfRule>
    <cfRule type="cellIs" dxfId="227" priority="17" operator="equal">
      <formula>G124</formula>
    </cfRule>
  </conditionalFormatting>
  <conditionalFormatting sqref="E123">
    <cfRule type="cellIs" dxfId="226" priority="13" operator="equal">
      <formula>D123</formula>
    </cfRule>
  </conditionalFormatting>
  <conditionalFormatting sqref="E123">
    <cfRule type="cellIs" dxfId="225" priority="11" operator="equal">
      <formula>D123</formula>
    </cfRule>
  </conditionalFormatting>
  <conditionalFormatting sqref="E123">
    <cfRule type="cellIs" dxfId="224" priority="10" operator="equal">
      <formula>D123</formula>
    </cfRule>
  </conditionalFormatting>
  <conditionalFormatting sqref="C123">
    <cfRule type="cellIs" dxfId="223" priority="8" operator="equal">
      <formula>B123</formula>
    </cfRule>
  </conditionalFormatting>
  <conditionalFormatting sqref="D123:E123">
    <cfRule type="cellIs" dxfId="222" priority="14" operator="equal">
      <formula>C123</formula>
    </cfRule>
  </conditionalFormatting>
  <conditionalFormatting sqref="F123">
    <cfRule type="cellIs" dxfId="221" priority="9" operator="equal">
      <formula>E123</formula>
    </cfRule>
    <cfRule type="cellIs" dxfId="220" priority="12" operator="equal">
      <formula>G123</formula>
    </cfRule>
  </conditionalFormatting>
  <conditionalFormatting sqref="D126:D134">
    <cfRule type="cellIs" dxfId="219" priority="5" operator="equal">
      <formula>C126</formula>
    </cfRule>
  </conditionalFormatting>
  <conditionalFormatting sqref="F126:F134">
    <cfRule type="cellIs" dxfId="218" priority="4" operator="equal">
      <formula>G126</formula>
    </cfRule>
    <cfRule type="cellIs" dxfId="217" priority="6" operator="equal">
      <formula>E126</formula>
    </cfRule>
  </conditionalFormatting>
  <conditionalFormatting sqref="C125:C134">
    <cfRule type="cellIs" dxfId="216" priority="3" operator="equal">
      <formula>B125</formula>
    </cfRule>
  </conditionalFormatting>
  <conditionalFormatting sqref="D125:E125 E126:E134">
    <cfRule type="cellIs" dxfId="215" priority="1" operator="equal">
      <formula>C125</formula>
    </cfRule>
  </conditionalFormatting>
  <conditionalFormatting sqref="F125">
    <cfRule type="cellIs" dxfId="214" priority="2" operator="equal">
      <formula>G125</formula>
    </cfRule>
    <cfRule type="cellIs" dxfId="213" priority="7" operator="equal">
      <formula>E125</formula>
    </cfRule>
  </conditionalFormatting>
  <hyperlinks>
    <hyperlink ref="H1" location="Inventory!A1" display="Inventory" xr:uid="{00000000-0004-0000-0400-000000000000}"/>
    <hyperlink ref="I121" location="Inventory!A1" display="Inventory" xr:uid="{00000000-0004-0000-0400-000001000000}"/>
    <hyperlink ref="I120" location="'VFA (10F) (No ARS)'!A1" display="Top" xr:uid="{00000000-0004-0000-0400-000002000000}"/>
    <hyperlink ref="H2" location="'VFA (10F) (No ARS)'!A140" display="AMFOM" xr:uid="{00000000-0004-0000-0400-000003000000}"/>
  </hyperlinks>
  <printOptions horizontalCentered="1" verticalCentered="1"/>
  <pageMargins left="0.5" right="0.25" top="0.5" bottom="0.5" header="0.5" footer="0.5"/>
  <pageSetup scale="3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50" t="s">
        <v>194</v>
      </c>
      <c r="B1" s="450"/>
      <c r="C1" s="450"/>
      <c r="D1" s="450"/>
      <c r="E1" s="450"/>
      <c r="F1" s="450"/>
      <c r="G1" s="450"/>
      <c r="H1" s="145" t="s">
        <v>40</v>
      </c>
      <c r="K1" s="95"/>
      <c r="L1" s="146" t="s">
        <v>41</v>
      </c>
      <c r="M1" s="441">
        <v>44835</v>
      </c>
      <c r="N1" s="442"/>
      <c r="O1" s="443"/>
      <c r="P1" s="443"/>
      <c r="AC1" s="324" t="s">
        <v>42</v>
      </c>
      <c r="AD1" s="325">
        <v>10.039999999999999</v>
      </c>
    </row>
    <row r="2" spans="1:34" s="4" customFormat="1" ht="12.75" x14ac:dyDescent="0.2">
      <c r="A2" s="2" t="s">
        <v>43</v>
      </c>
      <c r="B2" s="80">
        <v>11</v>
      </c>
      <c r="C2" s="81"/>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82">
        <f>B4/B2</f>
        <v>1.5454545454545454</v>
      </c>
      <c r="C3" s="81"/>
      <c r="D3" s="3"/>
      <c r="I3" s="3"/>
      <c r="J3" s="3"/>
      <c r="K3" s="3"/>
      <c r="N3" s="5"/>
      <c r="O3" s="5"/>
      <c r="P3" s="5"/>
      <c r="Q3" s="5"/>
      <c r="R3" s="3"/>
      <c r="S3" s="3"/>
      <c r="T3" s="3"/>
      <c r="U3" s="3"/>
      <c r="V3" s="3"/>
      <c r="W3" s="3"/>
      <c r="X3" s="3"/>
      <c r="Y3" s="3"/>
      <c r="Z3" s="3"/>
      <c r="AA3" s="3"/>
      <c r="AB3" s="3"/>
      <c r="AC3" s="100"/>
    </row>
    <row r="4" spans="1:34" s="4" customFormat="1" ht="11.25" x14ac:dyDescent="0.2">
      <c r="A4" s="2" t="s">
        <v>45</v>
      </c>
      <c r="B4" s="80">
        <v>17</v>
      </c>
      <c r="C4" s="81"/>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81">
        <v>1.5</v>
      </c>
      <c r="C5" s="83"/>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81">
        <v>27.5</v>
      </c>
      <c r="C6" s="83"/>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81">
        <f>B6*B4</f>
        <v>467.5</v>
      </c>
      <c r="C7" s="84"/>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80">
        <f>B7/B5</f>
        <v>311.66666666666669</v>
      </c>
      <c r="C8" s="81"/>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81">
        <f>B4*C9</f>
        <v>17</v>
      </c>
      <c r="C9" s="81">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81">
        <f>B4*C10</f>
        <v>105.4</v>
      </c>
      <c r="C10" s="81">
        <v>6.2</v>
      </c>
      <c r="D10" s="4" t="s">
        <v>51</v>
      </c>
      <c r="E10" s="3"/>
      <c r="F10" s="3"/>
      <c r="G10" s="94" t="s">
        <v>54</v>
      </c>
      <c r="H10" s="93">
        <v>0.26400000000000001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34</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11" t="s">
        <v>65</v>
      </c>
      <c r="C14" s="11" t="s">
        <v>66</v>
      </c>
      <c r="D14" s="11" t="s">
        <v>67</v>
      </c>
      <c r="E14" s="11" t="s">
        <v>68</v>
      </c>
      <c r="F14" s="11" t="s">
        <v>69</v>
      </c>
      <c r="G14" s="11" t="s">
        <v>70</v>
      </c>
      <c r="H14" s="11" t="s">
        <v>71</v>
      </c>
      <c r="I14" s="11" t="s">
        <v>72</v>
      </c>
      <c r="J14" s="11" t="s">
        <v>73</v>
      </c>
      <c r="K14" s="11" t="s">
        <v>74</v>
      </c>
      <c r="L14" s="11" t="s">
        <v>75</v>
      </c>
      <c r="M14" s="11" t="s">
        <v>76</v>
      </c>
      <c r="N14" s="11" t="s">
        <v>77</v>
      </c>
      <c r="O14" s="11" t="s">
        <v>78</v>
      </c>
      <c r="P14" s="11" t="s">
        <v>79</v>
      </c>
      <c r="Q14" s="11" t="s">
        <v>80</v>
      </c>
      <c r="R14" s="11" t="s">
        <v>81</v>
      </c>
      <c r="S14" s="11" t="s">
        <v>82</v>
      </c>
      <c r="T14" s="11" t="s">
        <v>83</v>
      </c>
      <c r="U14" s="11" t="s">
        <v>84</v>
      </c>
      <c r="V14" s="11" t="s">
        <v>85</v>
      </c>
      <c r="W14" s="11" t="s">
        <v>86</v>
      </c>
      <c r="X14" s="11" t="s">
        <v>87</v>
      </c>
      <c r="Y14" s="11" t="s">
        <v>88</v>
      </c>
      <c r="Z14" s="11" t="s">
        <v>89</v>
      </c>
      <c r="AA14" s="11" t="s">
        <v>90</v>
      </c>
      <c r="AB14" s="419" t="s">
        <v>91</v>
      </c>
      <c r="AC14" s="11" t="s">
        <v>92</v>
      </c>
      <c r="AD14" s="12"/>
      <c r="AE14" s="12"/>
      <c r="AF14" s="12"/>
      <c r="AG14" s="12"/>
      <c r="AH14" s="12"/>
    </row>
    <row r="15" spans="1:34" s="13" customFormat="1" x14ac:dyDescent="0.2">
      <c r="A15" s="8" t="s">
        <v>93</v>
      </c>
      <c r="B15" s="11">
        <v>1</v>
      </c>
      <c r="C15" s="11">
        <v>2</v>
      </c>
      <c r="D15" s="11">
        <v>3</v>
      </c>
      <c r="E15" s="11">
        <v>4</v>
      </c>
      <c r="F15" s="11">
        <v>5</v>
      </c>
      <c r="G15" s="11">
        <v>6</v>
      </c>
      <c r="H15" s="11">
        <v>7</v>
      </c>
      <c r="I15" s="11">
        <v>8</v>
      </c>
      <c r="J15" s="11">
        <v>9</v>
      </c>
      <c r="K15" s="11">
        <v>10</v>
      </c>
      <c r="L15" s="11">
        <v>11</v>
      </c>
      <c r="M15" s="11">
        <v>12</v>
      </c>
      <c r="N15" s="11">
        <v>13</v>
      </c>
      <c r="O15" s="11">
        <v>14</v>
      </c>
      <c r="P15" s="11">
        <v>15</v>
      </c>
      <c r="Q15" s="11">
        <v>16</v>
      </c>
      <c r="R15" s="11">
        <v>17</v>
      </c>
      <c r="S15" s="11">
        <v>18</v>
      </c>
      <c r="T15" s="11">
        <v>19</v>
      </c>
      <c r="U15" s="11">
        <v>20</v>
      </c>
      <c r="V15" s="11">
        <v>21</v>
      </c>
      <c r="W15" s="11">
        <v>22</v>
      </c>
      <c r="X15" s="11">
        <v>23</v>
      </c>
      <c r="Y15" s="11">
        <v>24</v>
      </c>
      <c r="Z15" s="11">
        <v>25</v>
      </c>
      <c r="AA15" s="11">
        <v>26</v>
      </c>
      <c r="AB15" s="419">
        <v>27</v>
      </c>
      <c r="AC15" s="11">
        <v>28</v>
      </c>
      <c r="AD15" s="12"/>
      <c r="AE15" s="12"/>
      <c r="AF15" s="12"/>
      <c r="AG15" s="12"/>
      <c r="AH15" s="12"/>
    </row>
    <row r="16" spans="1:34" x14ac:dyDescent="0.2">
      <c r="A16" s="8" t="s">
        <v>94</v>
      </c>
      <c r="B16" s="447" t="s">
        <v>95</v>
      </c>
      <c r="C16" s="448"/>
      <c r="D16" s="448"/>
      <c r="E16" s="449"/>
      <c r="F16" s="447" t="s">
        <v>96</v>
      </c>
      <c r="G16" s="448"/>
      <c r="H16" s="448"/>
      <c r="I16" s="448"/>
      <c r="J16" s="449"/>
      <c r="K16" s="447" t="s">
        <v>97</v>
      </c>
      <c r="L16" s="448"/>
      <c r="M16" s="449"/>
      <c r="N16" s="447" t="s">
        <v>61</v>
      </c>
      <c r="O16" s="448"/>
      <c r="P16" s="448"/>
      <c r="Q16" s="449"/>
      <c r="R16" s="447" t="s">
        <v>98</v>
      </c>
      <c r="S16" s="448"/>
      <c r="T16" s="448"/>
      <c r="U16" s="448"/>
      <c r="V16" s="448"/>
      <c r="W16" s="449"/>
      <c r="X16" s="447" t="s">
        <v>99</v>
      </c>
      <c r="Y16" s="448"/>
      <c r="Z16" s="448"/>
      <c r="AA16" s="448"/>
      <c r="AB16" s="448"/>
      <c r="AC16" s="11" t="s">
        <v>100</v>
      </c>
      <c r="AD16" s="14"/>
      <c r="AE16" s="14"/>
      <c r="AF16" s="14"/>
      <c r="AG16" s="14"/>
      <c r="AH16" s="14"/>
    </row>
    <row r="17" spans="1:34" ht="12.75" x14ac:dyDescent="0.2">
      <c r="A17" s="96" t="s">
        <v>101</v>
      </c>
      <c r="B17" s="16"/>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9"/>
      <c r="AD17" s="14"/>
      <c r="AE17" s="14"/>
      <c r="AF17" s="14"/>
      <c r="AG17" s="14"/>
      <c r="AH17" s="14"/>
    </row>
    <row r="18" spans="1:34" s="97" customFormat="1" x14ac:dyDescent="0.2">
      <c r="A18" s="133"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19"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x14ac:dyDescent="0.2">
      <c r="A20" s="177" t="s">
        <v>104</v>
      </c>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5"/>
      <c r="AD20" s="21"/>
      <c r="AE20" s="21"/>
      <c r="AF20" s="22"/>
      <c r="AG20" s="12"/>
      <c r="AH20" s="23"/>
    </row>
    <row r="21" spans="1:34" s="27" customFormat="1" x14ac:dyDescent="0.2">
      <c r="A21" s="24" t="s">
        <v>105</v>
      </c>
      <c r="B21" s="179">
        <f t="shared" ref="B21:AC21" si="1">B19*$B$8</f>
        <v>155.83333333333334</v>
      </c>
      <c r="C21" s="179">
        <f t="shared" si="1"/>
        <v>155.83333333333334</v>
      </c>
      <c r="D21" s="179">
        <f t="shared" si="1"/>
        <v>155.83333333333334</v>
      </c>
      <c r="E21" s="179">
        <f t="shared" si="1"/>
        <v>155.83333333333334</v>
      </c>
      <c r="F21" s="179">
        <f t="shared" si="1"/>
        <v>155.83333333333334</v>
      </c>
      <c r="G21" s="179">
        <f t="shared" si="1"/>
        <v>155.83333333333334</v>
      </c>
      <c r="H21" s="179">
        <f t="shared" si="1"/>
        <v>171.41666666666669</v>
      </c>
      <c r="I21" s="179">
        <f t="shared" si="1"/>
        <v>187</v>
      </c>
      <c r="J21" s="179">
        <f t="shared" si="1"/>
        <v>202.58333333333334</v>
      </c>
      <c r="K21" s="179">
        <f t="shared" si="1"/>
        <v>218.16666666666666</v>
      </c>
      <c r="L21" s="179">
        <f t="shared" si="1"/>
        <v>218.16666666666666</v>
      </c>
      <c r="M21" s="179">
        <f t="shared" si="1"/>
        <v>218.16666666666666</v>
      </c>
      <c r="N21" s="179">
        <f t="shared" si="1"/>
        <v>218.16666666666666</v>
      </c>
      <c r="O21" s="179">
        <f t="shared" si="1"/>
        <v>218.16666666666666</v>
      </c>
      <c r="P21" s="179">
        <f t="shared" si="1"/>
        <v>218.16666666666666</v>
      </c>
      <c r="Q21" s="179">
        <f t="shared" si="1"/>
        <v>124.66666666666669</v>
      </c>
      <c r="R21" s="179">
        <f t="shared" si="1"/>
        <v>249.33333333333337</v>
      </c>
      <c r="S21" s="179">
        <f t="shared" si="1"/>
        <v>249.33333333333337</v>
      </c>
      <c r="T21" s="179">
        <f t="shared" si="1"/>
        <v>249.33333333333337</v>
      </c>
      <c r="U21" s="179">
        <f t="shared" si="1"/>
        <v>249.33333333333337</v>
      </c>
      <c r="V21" s="179">
        <f t="shared" si="1"/>
        <v>249.33333333333337</v>
      </c>
      <c r="W21" s="179">
        <f t="shared" si="1"/>
        <v>218.16666666666666</v>
      </c>
      <c r="X21" s="179">
        <f t="shared" si="1"/>
        <v>124.66666666666669</v>
      </c>
      <c r="Y21" s="179">
        <f t="shared" si="1"/>
        <v>187</v>
      </c>
      <c r="Z21" s="179">
        <f t="shared" si="1"/>
        <v>187</v>
      </c>
      <c r="AA21" s="179">
        <f t="shared" si="1"/>
        <v>187</v>
      </c>
      <c r="AB21" s="188">
        <f t="shared" si="1"/>
        <v>187</v>
      </c>
      <c r="AC21" s="25">
        <f t="shared" si="1"/>
        <v>124.66666666666669</v>
      </c>
      <c r="AD21" s="26"/>
      <c r="AE21" s="26"/>
      <c r="AF21" s="26"/>
      <c r="AG21" s="26"/>
      <c r="AH21" s="26"/>
    </row>
    <row r="22" spans="1:34" s="30" customFormat="1" x14ac:dyDescent="0.2">
      <c r="A22" s="24" t="s">
        <v>106</v>
      </c>
      <c r="B22" s="28">
        <f t="shared" ref="B22:AC22" si="2">B21*$B$5</f>
        <v>233.75</v>
      </c>
      <c r="C22" s="28">
        <f t="shared" si="2"/>
        <v>233.75</v>
      </c>
      <c r="D22" s="28">
        <f t="shared" si="2"/>
        <v>233.75</v>
      </c>
      <c r="E22" s="28">
        <f t="shared" si="2"/>
        <v>233.75</v>
      </c>
      <c r="F22" s="28">
        <f t="shared" si="2"/>
        <v>233.75</v>
      </c>
      <c r="G22" s="28">
        <f t="shared" si="2"/>
        <v>233.75</v>
      </c>
      <c r="H22" s="28">
        <f t="shared" si="2"/>
        <v>257.125</v>
      </c>
      <c r="I22" s="28">
        <f t="shared" si="2"/>
        <v>280.5</v>
      </c>
      <c r="J22" s="28">
        <f t="shared" si="2"/>
        <v>303.875</v>
      </c>
      <c r="K22" s="28">
        <f t="shared" si="2"/>
        <v>327.25</v>
      </c>
      <c r="L22" s="28">
        <f t="shared" si="2"/>
        <v>327.25</v>
      </c>
      <c r="M22" s="28">
        <f t="shared" si="2"/>
        <v>327.25</v>
      </c>
      <c r="N22" s="28">
        <f t="shared" si="2"/>
        <v>327.25</v>
      </c>
      <c r="O22" s="28">
        <f t="shared" si="2"/>
        <v>327.25</v>
      </c>
      <c r="P22" s="28">
        <f t="shared" si="2"/>
        <v>327.25</v>
      </c>
      <c r="Q22" s="28">
        <f t="shared" si="2"/>
        <v>187.00000000000003</v>
      </c>
      <c r="R22" s="28">
        <f t="shared" si="2"/>
        <v>374.00000000000006</v>
      </c>
      <c r="S22" s="28">
        <f t="shared" si="2"/>
        <v>374.00000000000006</v>
      </c>
      <c r="T22" s="28">
        <f t="shared" si="2"/>
        <v>374.00000000000006</v>
      </c>
      <c r="U22" s="28">
        <f t="shared" si="2"/>
        <v>374.00000000000006</v>
      </c>
      <c r="V22" s="28">
        <f t="shared" si="2"/>
        <v>374.00000000000006</v>
      </c>
      <c r="W22" s="28">
        <f t="shared" si="2"/>
        <v>327.25</v>
      </c>
      <c r="X22" s="28">
        <f t="shared" si="2"/>
        <v>187.00000000000003</v>
      </c>
      <c r="Y22" s="28">
        <f t="shared" si="2"/>
        <v>280.5</v>
      </c>
      <c r="Z22" s="28">
        <f t="shared" si="2"/>
        <v>280.5</v>
      </c>
      <c r="AA22" s="28">
        <f t="shared" si="2"/>
        <v>280.5</v>
      </c>
      <c r="AB22" s="175">
        <f t="shared" si="2"/>
        <v>280.5</v>
      </c>
      <c r="AC22" s="28">
        <f t="shared" si="2"/>
        <v>187.00000000000003</v>
      </c>
      <c r="AD22" s="29"/>
      <c r="AE22" s="29"/>
      <c r="AF22" s="29"/>
      <c r="AG22" s="29"/>
      <c r="AH22" s="29"/>
    </row>
    <row r="23" spans="1:34" s="30" customFormat="1" x14ac:dyDescent="0.2">
      <c r="A23" s="24" t="s">
        <v>107</v>
      </c>
      <c r="B23" s="101">
        <f>$B$9</f>
        <v>17</v>
      </c>
      <c r="C23" s="101">
        <f t="shared" ref="C23:AC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01">
        <f t="shared" si="3"/>
        <v>17</v>
      </c>
      <c r="N23" s="101">
        <f t="shared" si="3"/>
        <v>17</v>
      </c>
      <c r="O23" s="101">
        <f t="shared" si="3"/>
        <v>17</v>
      </c>
      <c r="P23" s="101">
        <f t="shared" si="3"/>
        <v>17</v>
      </c>
      <c r="Q23" s="101">
        <f t="shared" si="3"/>
        <v>17</v>
      </c>
      <c r="R23" s="101">
        <f t="shared" si="3"/>
        <v>17</v>
      </c>
      <c r="S23" s="101">
        <f t="shared" si="3"/>
        <v>17</v>
      </c>
      <c r="T23" s="101">
        <f t="shared" si="3"/>
        <v>17</v>
      </c>
      <c r="U23" s="101">
        <f t="shared" si="3"/>
        <v>17</v>
      </c>
      <c r="V23" s="101">
        <f t="shared" si="3"/>
        <v>17</v>
      </c>
      <c r="W23" s="101">
        <f t="shared" si="3"/>
        <v>17</v>
      </c>
      <c r="X23" s="101">
        <f t="shared" si="3"/>
        <v>17</v>
      </c>
      <c r="Y23" s="101">
        <f t="shared" si="3"/>
        <v>17</v>
      </c>
      <c r="Z23" s="101">
        <f t="shared" si="3"/>
        <v>17</v>
      </c>
      <c r="AA23" s="101">
        <f t="shared" si="3"/>
        <v>17</v>
      </c>
      <c r="AB23" s="189">
        <f t="shared" si="3"/>
        <v>17</v>
      </c>
      <c r="AC23" s="101">
        <f t="shared" si="3"/>
        <v>17</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105.4</v>
      </c>
      <c r="K24" s="101">
        <f t="shared" si="4"/>
        <v>0</v>
      </c>
      <c r="L24" s="101">
        <f t="shared" si="4"/>
        <v>105.4</v>
      </c>
      <c r="M24" s="101">
        <f t="shared" si="4"/>
        <v>105.4</v>
      </c>
      <c r="N24" s="101">
        <f t="shared" si="4"/>
        <v>0</v>
      </c>
      <c r="O24" s="101">
        <f t="shared" si="4"/>
        <v>0</v>
      </c>
      <c r="P24" s="101">
        <f t="shared" si="4"/>
        <v>105.4</v>
      </c>
      <c r="Q24" s="101">
        <f t="shared" si="4"/>
        <v>0</v>
      </c>
      <c r="R24" s="101">
        <f t="shared" si="4"/>
        <v>105.4</v>
      </c>
      <c r="S24" s="101">
        <f t="shared" si="4"/>
        <v>105.4</v>
      </c>
      <c r="T24" s="101">
        <f t="shared" si="4"/>
        <v>105.4</v>
      </c>
      <c r="U24" s="101">
        <f t="shared" si="4"/>
        <v>105.4</v>
      </c>
      <c r="V24" s="101">
        <f t="shared" si="4"/>
        <v>105.4</v>
      </c>
      <c r="W24" s="101">
        <f t="shared" si="4"/>
        <v>105.4</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250.75</v>
      </c>
      <c r="C25" s="28">
        <f t="shared" si="5"/>
        <v>250.75</v>
      </c>
      <c r="D25" s="28">
        <f t="shared" si="5"/>
        <v>250.75</v>
      </c>
      <c r="E25" s="28">
        <f t="shared" si="5"/>
        <v>250.75</v>
      </c>
      <c r="F25" s="28">
        <f t="shared" si="5"/>
        <v>250.75</v>
      </c>
      <c r="G25" s="28">
        <f t="shared" si="5"/>
        <v>250.75</v>
      </c>
      <c r="H25" s="28">
        <f t="shared" si="5"/>
        <v>274.125</v>
      </c>
      <c r="I25" s="28">
        <f t="shared" si="5"/>
        <v>297.5</v>
      </c>
      <c r="J25" s="28">
        <f t="shared" si="5"/>
        <v>426.27499999999998</v>
      </c>
      <c r="K25" s="28">
        <f t="shared" si="5"/>
        <v>344.25</v>
      </c>
      <c r="L25" s="28">
        <f t="shared" si="5"/>
        <v>449.65</v>
      </c>
      <c r="M25" s="28">
        <f t="shared" si="5"/>
        <v>449.65</v>
      </c>
      <c r="N25" s="28">
        <f t="shared" si="5"/>
        <v>344.25</v>
      </c>
      <c r="O25" s="28">
        <f t="shared" si="5"/>
        <v>344.25</v>
      </c>
      <c r="P25" s="28">
        <f t="shared" si="5"/>
        <v>449.65</v>
      </c>
      <c r="Q25" s="28">
        <f t="shared" si="5"/>
        <v>204.00000000000003</v>
      </c>
      <c r="R25" s="28">
        <f t="shared" si="5"/>
        <v>496.40000000000009</v>
      </c>
      <c r="S25" s="28">
        <f t="shared" si="5"/>
        <v>496.40000000000009</v>
      </c>
      <c r="T25" s="28">
        <f t="shared" si="5"/>
        <v>496.40000000000009</v>
      </c>
      <c r="U25" s="28">
        <f t="shared" si="5"/>
        <v>496.40000000000009</v>
      </c>
      <c r="V25" s="28">
        <f t="shared" si="5"/>
        <v>496.40000000000009</v>
      </c>
      <c r="W25" s="28">
        <f t="shared" si="5"/>
        <v>449.65</v>
      </c>
      <c r="X25" s="28">
        <f t="shared" si="5"/>
        <v>204.00000000000003</v>
      </c>
      <c r="Y25" s="28">
        <f t="shared" si="5"/>
        <v>297.5</v>
      </c>
      <c r="Z25" s="28">
        <f t="shared" si="5"/>
        <v>297.5</v>
      </c>
      <c r="AA25" s="28">
        <f t="shared" si="5"/>
        <v>297.5</v>
      </c>
      <c r="AB25" s="175">
        <f t="shared" si="5"/>
        <v>297.5</v>
      </c>
      <c r="AC25" s="28">
        <f t="shared" si="5"/>
        <v>204.00000000000003</v>
      </c>
      <c r="AD25" s="29"/>
      <c r="AE25" s="29"/>
      <c r="AF25" s="29"/>
      <c r="AG25" s="29"/>
      <c r="AH25" s="29"/>
    </row>
    <row r="26" spans="1:34" s="30" customFormat="1" x14ac:dyDescent="0.2">
      <c r="A26" s="31" t="s">
        <v>110</v>
      </c>
      <c r="B26" s="32">
        <f t="shared" ref="B26:AB26" si="6">-IF(ISBLANK(B117),0,MIN(B$22*$H$10,B$22-$B$7*$H$9))</f>
        <v>-46.75</v>
      </c>
      <c r="C26" s="32">
        <f t="shared" si="6"/>
        <v>-46.75</v>
      </c>
      <c r="D26" s="32">
        <f t="shared" si="6"/>
        <v>-46.75</v>
      </c>
      <c r="E26" s="32">
        <f t="shared" si="6"/>
        <v>0</v>
      </c>
      <c r="F26" s="32">
        <f t="shared" si="6"/>
        <v>-46.75</v>
      </c>
      <c r="G26" s="32">
        <f t="shared" si="6"/>
        <v>-46.75</v>
      </c>
      <c r="H26" s="32">
        <f t="shared" si="6"/>
        <v>-67.881</v>
      </c>
      <c r="I26" s="32">
        <f t="shared" si="6"/>
        <v>-74.052000000000007</v>
      </c>
      <c r="J26" s="32">
        <f t="shared" si="6"/>
        <v>0</v>
      </c>
      <c r="K26" s="32">
        <f t="shared" si="6"/>
        <v>0</v>
      </c>
      <c r="L26" s="32">
        <f t="shared" si="6"/>
        <v>0</v>
      </c>
      <c r="M26" s="32">
        <f t="shared" si="6"/>
        <v>0</v>
      </c>
      <c r="N26" s="32">
        <f t="shared" si="6"/>
        <v>-86.394000000000005</v>
      </c>
      <c r="O26" s="32">
        <f t="shared" si="6"/>
        <v>-86.394000000000005</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-74.052000000000007</v>
      </c>
      <c r="Z26" s="32">
        <f t="shared" si="6"/>
        <v>-74.052000000000007</v>
      </c>
      <c r="AA26" s="32">
        <f t="shared" si="6"/>
        <v>-74.052000000000007</v>
      </c>
      <c r="AB26" s="172">
        <f t="shared" si="6"/>
        <v>-74.052000000000007</v>
      </c>
      <c r="AC26" s="28">
        <f>-IF(ISBLANK(AC105),0,MIN(AC$22*$H$10,AC$22-$B$7*$H$9))</f>
        <v>0</v>
      </c>
      <c r="AD26" s="29"/>
      <c r="AE26" s="29"/>
      <c r="AF26" s="29"/>
      <c r="AG26" s="29"/>
      <c r="AH26" s="29"/>
    </row>
    <row r="27" spans="1:34" s="30" customFormat="1" x14ac:dyDescent="0.2">
      <c r="A27" s="24" t="s">
        <v>111</v>
      </c>
      <c r="B27" s="32">
        <f t="shared" ref="B27:AB27" si="7">SUM(B25:B26)</f>
        <v>204</v>
      </c>
      <c r="C27" s="32">
        <f t="shared" si="7"/>
        <v>204</v>
      </c>
      <c r="D27" s="32">
        <f t="shared" si="7"/>
        <v>204</v>
      </c>
      <c r="E27" s="32">
        <f t="shared" si="7"/>
        <v>250.75</v>
      </c>
      <c r="F27" s="32">
        <f t="shared" si="7"/>
        <v>204</v>
      </c>
      <c r="G27" s="32">
        <f t="shared" si="7"/>
        <v>204</v>
      </c>
      <c r="H27" s="32">
        <f t="shared" si="7"/>
        <v>206.244</v>
      </c>
      <c r="I27" s="32">
        <f t="shared" si="7"/>
        <v>223.44799999999998</v>
      </c>
      <c r="J27" s="32">
        <f t="shared" si="7"/>
        <v>426.27499999999998</v>
      </c>
      <c r="K27" s="32">
        <f t="shared" si="7"/>
        <v>344.25</v>
      </c>
      <c r="L27" s="32">
        <f t="shared" si="7"/>
        <v>449.65</v>
      </c>
      <c r="M27" s="32">
        <f t="shared" si="7"/>
        <v>449.65</v>
      </c>
      <c r="N27" s="32">
        <f t="shared" si="7"/>
        <v>257.85599999999999</v>
      </c>
      <c r="O27" s="32">
        <f t="shared" si="7"/>
        <v>257.85599999999999</v>
      </c>
      <c r="P27" s="32">
        <f t="shared" si="7"/>
        <v>449.65</v>
      </c>
      <c r="Q27" s="32">
        <f t="shared" si="7"/>
        <v>204.00000000000003</v>
      </c>
      <c r="R27" s="32">
        <f t="shared" si="7"/>
        <v>496.40000000000009</v>
      </c>
      <c r="S27" s="32">
        <f t="shared" si="7"/>
        <v>496.40000000000009</v>
      </c>
      <c r="T27" s="32">
        <f t="shared" si="7"/>
        <v>496.40000000000009</v>
      </c>
      <c r="U27" s="32">
        <f t="shared" si="7"/>
        <v>496.40000000000009</v>
      </c>
      <c r="V27" s="32">
        <f t="shared" si="7"/>
        <v>496.40000000000009</v>
      </c>
      <c r="W27" s="32">
        <f t="shared" si="7"/>
        <v>449.65</v>
      </c>
      <c r="X27" s="32">
        <f t="shared" si="7"/>
        <v>204.00000000000003</v>
      </c>
      <c r="Y27" s="32">
        <f t="shared" si="7"/>
        <v>223.44799999999998</v>
      </c>
      <c r="Z27" s="32">
        <f t="shared" si="7"/>
        <v>223.44799999999998</v>
      </c>
      <c r="AA27" s="32">
        <f t="shared" si="7"/>
        <v>223.44799999999998</v>
      </c>
      <c r="AB27" s="172">
        <f t="shared" si="7"/>
        <v>223.44799999999998</v>
      </c>
      <c r="AC27" s="28">
        <f>SUM(AC25:AC26)</f>
        <v>204.00000000000003</v>
      </c>
      <c r="AD27" s="29"/>
      <c r="AE27" s="29"/>
      <c r="AF27" s="29"/>
      <c r="AG27" s="29"/>
      <c r="AH27" s="29"/>
    </row>
    <row r="28" spans="1:34" s="30" customFormat="1" x14ac:dyDescent="0.2">
      <c r="A28" s="31" t="s">
        <v>112</v>
      </c>
      <c r="B28" s="32">
        <f>AVERAGE(AA22:AB22,B22)</f>
        <v>264.91666666666669</v>
      </c>
      <c r="C28" s="32">
        <f>AVERAGE(AB22,B22:C22)</f>
        <v>249.33333333333334</v>
      </c>
      <c r="D28" s="32">
        <f t="shared" ref="D28:AB28" si="8">AVERAGE(B22:D22)</f>
        <v>233.75</v>
      </c>
      <c r="E28" s="32">
        <f t="shared" si="8"/>
        <v>233.75</v>
      </c>
      <c r="F28" s="32">
        <f t="shared" si="8"/>
        <v>233.75</v>
      </c>
      <c r="G28" s="32">
        <f t="shared" si="8"/>
        <v>233.75</v>
      </c>
      <c r="H28" s="32">
        <f t="shared" si="8"/>
        <v>241.54166666666666</v>
      </c>
      <c r="I28" s="32">
        <f t="shared" si="8"/>
        <v>257.125</v>
      </c>
      <c r="J28" s="32">
        <f t="shared" si="8"/>
        <v>280.5</v>
      </c>
      <c r="K28" s="32">
        <f t="shared" si="8"/>
        <v>303.875</v>
      </c>
      <c r="L28" s="32">
        <f t="shared" si="8"/>
        <v>319.45833333333331</v>
      </c>
      <c r="M28" s="32">
        <f t="shared" si="8"/>
        <v>327.25</v>
      </c>
      <c r="N28" s="32">
        <f t="shared" si="8"/>
        <v>327.25</v>
      </c>
      <c r="O28" s="32">
        <f t="shared" si="8"/>
        <v>327.25</v>
      </c>
      <c r="P28" s="32">
        <f t="shared" si="8"/>
        <v>327.25</v>
      </c>
      <c r="Q28" s="32">
        <f t="shared" si="8"/>
        <v>280.5</v>
      </c>
      <c r="R28" s="32">
        <f t="shared" si="8"/>
        <v>296.08333333333331</v>
      </c>
      <c r="S28" s="32">
        <f t="shared" si="8"/>
        <v>311.66666666666674</v>
      </c>
      <c r="T28" s="32">
        <f t="shared" si="8"/>
        <v>374.00000000000006</v>
      </c>
      <c r="U28" s="32">
        <f t="shared" si="8"/>
        <v>374.00000000000006</v>
      </c>
      <c r="V28" s="32">
        <f t="shared" si="8"/>
        <v>374.00000000000006</v>
      </c>
      <c r="W28" s="32">
        <f t="shared" si="8"/>
        <v>358.41666666666669</v>
      </c>
      <c r="X28" s="32">
        <f t="shared" si="8"/>
        <v>296.08333333333331</v>
      </c>
      <c r="Y28" s="32">
        <f t="shared" si="8"/>
        <v>264.91666666666669</v>
      </c>
      <c r="Z28" s="32">
        <f t="shared" si="8"/>
        <v>249.33333333333334</v>
      </c>
      <c r="AA28" s="32">
        <f t="shared" si="8"/>
        <v>280.5</v>
      </c>
      <c r="AB28" s="172">
        <f t="shared" si="8"/>
        <v>280.5</v>
      </c>
      <c r="AC28" s="28">
        <f>SUM(AC25:AC26)</f>
        <v>204.00000000000003</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34</v>
      </c>
      <c r="C30" s="32">
        <f t="shared" si="9"/>
        <v>34</v>
      </c>
      <c r="D30" s="32">
        <f t="shared" si="9"/>
        <v>34</v>
      </c>
      <c r="E30" s="32">
        <f t="shared" si="9"/>
        <v>0</v>
      </c>
      <c r="F30" s="32">
        <f t="shared" si="9"/>
        <v>34</v>
      </c>
      <c r="G30" s="32">
        <f t="shared" si="9"/>
        <v>34</v>
      </c>
      <c r="H30" s="32">
        <f t="shared" si="9"/>
        <v>34</v>
      </c>
      <c r="I30" s="32">
        <f t="shared" si="9"/>
        <v>34</v>
      </c>
      <c r="J30" s="32">
        <f t="shared" si="9"/>
        <v>0</v>
      </c>
      <c r="K30" s="32">
        <f t="shared" si="9"/>
        <v>0</v>
      </c>
      <c r="L30" s="32">
        <f t="shared" si="9"/>
        <v>0</v>
      </c>
      <c r="M30" s="32">
        <f t="shared" si="9"/>
        <v>0</v>
      </c>
      <c r="N30" s="32">
        <f t="shared" si="9"/>
        <v>34</v>
      </c>
      <c r="O30" s="32">
        <f t="shared" si="9"/>
        <v>34</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34</v>
      </c>
      <c r="Z30" s="32">
        <f t="shared" si="9"/>
        <v>34</v>
      </c>
      <c r="AA30" s="32">
        <f t="shared" si="9"/>
        <v>34</v>
      </c>
      <c r="AB30" s="172">
        <f t="shared" si="9"/>
        <v>34</v>
      </c>
      <c r="AC30" s="28">
        <f t="shared" si="9"/>
        <v>34</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0.45582916249582905</v>
      </c>
      <c r="C34" s="36">
        <f t="shared" ref="C34:AC34" si="11">((C36*$B$143)/$B$2)</f>
        <v>0.45582916249582905</v>
      </c>
      <c r="D34" s="36">
        <f t="shared" si="11"/>
        <v>0.45582916249582905</v>
      </c>
      <c r="E34" s="36">
        <f t="shared" si="11"/>
        <v>0.45582916249582905</v>
      </c>
      <c r="F34" s="36">
        <f t="shared" si="11"/>
        <v>0.45582916249582905</v>
      </c>
      <c r="G34" s="36">
        <f t="shared" si="11"/>
        <v>0.45582916249582905</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0.45582916249582905</v>
      </c>
      <c r="AD34" s="26"/>
      <c r="AE34" s="26"/>
      <c r="AF34" s="26"/>
      <c r="AG34" s="26"/>
      <c r="AH34" s="26"/>
    </row>
    <row r="35" spans="1:34" s="30" customFormat="1" x14ac:dyDescent="0.2">
      <c r="A35" s="24" t="s">
        <v>119</v>
      </c>
      <c r="B35" s="132">
        <f t="shared" ref="B35:AC35" si="12">ROUND($B$2*B$32,2)</f>
        <v>7.7</v>
      </c>
      <c r="C35" s="132">
        <f t="shared" si="12"/>
        <v>7.7</v>
      </c>
      <c r="D35" s="132">
        <f t="shared" si="12"/>
        <v>7.7</v>
      </c>
      <c r="E35" s="132">
        <f t="shared" si="12"/>
        <v>7.7</v>
      </c>
      <c r="F35" s="132">
        <f t="shared" si="12"/>
        <v>7.7</v>
      </c>
      <c r="G35" s="132">
        <f t="shared" si="12"/>
        <v>7.7</v>
      </c>
      <c r="H35" s="132">
        <f t="shared" si="12"/>
        <v>8.8000000000000007</v>
      </c>
      <c r="I35" s="132">
        <f t="shared" si="12"/>
        <v>8.8000000000000007</v>
      </c>
      <c r="J35" s="132">
        <f t="shared" si="12"/>
        <v>8.8000000000000007</v>
      </c>
      <c r="K35" s="132">
        <f t="shared" si="12"/>
        <v>9.9</v>
      </c>
      <c r="L35" s="132">
        <f t="shared" si="12"/>
        <v>9.9</v>
      </c>
      <c r="M35" s="132">
        <f t="shared" si="12"/>
        <v>9.9</v>
      </c>
      <c r="N35" s="132">
        <f t="shared" si="12"/>
        <v>11</v>
      </c>
      <c r="O35" s="132">
        <f t="shared" si="12"/>
        <v>11</v>
      </c>
      <c r="P35" s="132">
        <f t="shared" si="12"/>
        <v>11</v>
      </c>
      <c r="Q35" s="132">
        <f t="shared" si="12"/>
        <v>11</v>
      </c>
      <c r="R35" s="132">
        <f t="shared" si="12"/>
        <v>11</v>
      </c>
      <c r="S35" s="132">
        <f t="shared" si="12"/>
        <v>11</v>
      </c>
      <c r="T35" s="132">
        <f t="shared" si="12"/>
        <v>11</v>
      </c>
      <c r="U35" s="132">
        <f t="shared" si="12"/>
        <v>11</v>
      </c>
      <c r="V35" s="132">
        <f t="shared" si="12"/>
        <v>11</v>
      </c>
      <c r="W35" s="132">
        <f t="shared" si="12"/>
        <v>11</v>
      </c>
      <c r="X35" s="132">
        <f t="shared" si="12"/>
        <v>11</v>
      </c>
      <c r="Y35" s="132">
        <f t="shared" si="12"/>
        <v>11</v>
      </c>
      <c r="Z35" s="132">
        <f t="shared" si="12"/>
        <v>11</v>
      </c>
      <c r="AA35" s="132">
        <f t="shared" si="12"/>
        <v>11</v>
      </c>
      <c r="AB35" s="192">
        <f t="shared" si="12"/>
        <v>11</v>
      </c>
      <c r="AC35" s="132">
        <f t="shared" si="12"/>
        <v>7.7</v>
      </c>
      <c r="AD35" s="26"/>
      <c r="AE35" s="26"/>
      <c r="AF35" s="26"/>
      <c r="AG35" s="26"/>
      <c r="AH35" s="26"/>
    </row>
    <row r="36" spans="1:34" x14ac:dyDescent="0.2">
      <c r="A36" s="24" t="s">
        <v>120</v>
      </c>
      <c r="B36" s="132">
        <f t="shared" ref="B36:AC36" si="13">ROUND($B$2*B$33,2)</f>
        <v>6.16</v>
      </c>
      <c r="C36" s="132">
        <f t="shared" si="13"/>
        <v>6.16</v>
      </c>
      <c r="D36" s="132">
        <f t="shared" si="13"/>
        <v>6.16</v>
      </c>
      <c r="E36" s="132">
        <f t="shared" si="13"/>
        <v>6.16</v>
      </c>
      <c r="F36" s="132">
        <f t="shared" si="13"/>
        <v>6.16</v>
      </c>
      <c r="G36" s="132">
        <f t="shared" si="13"/>
        <v>6.16</v>
      </c>
      <c r="H36" s="132">
        <f t="shared" si="13"/>
        <v>7.04</v>
      </c>
      <c r="I36" s="132">
        <f t="shared" si="13"/>
        <v>7.04</v>
      </c>
      <c r="J36" s="132">
        <f t="shared" si="13"/>
        <v>7.04</v>
      </c>
      <c r="K36" s="132">
        <f t="shared" si="13"/>
        <v>7.92</v>
      </c>
      <c r="L36" s="132">
        <f t="shared" si="13"/>
        <v>7.92</v>
      </c>
      <c r="M36" s="132">
        <f t="shared" si="13"/>
        <v>7.92</v>
      </c>
      <c r="N36" s="132">
        <f t="shared" si="13"/>
        <v>8.8000000000000007</v>
      </c>
      <c r="O36" s="132">
        <f t="shared" si="13"/>
        <v>8.8000000000000007</v>
      </c>
      <c r="P36" s="132">
        <f t="shared" si="13"/>
        <v>8.8000000000000007</v>
      </c>
      <c r="Q36" s="132">
        <f t="shared" si="13"/>
        <v>8.8000000000000007</v>
      </c>
      <c r="R36" s="132">
        <f t="shared" si="13"/>
        <v>8.8000000000000007</v>
      </c>
      <c r="S36" s="132">
        <f t="shared" si="13"/>
        <v>8.8000000000000007</v>
      </c>
      <c r="T36" s="132">
        <f t="shared" si="13"/>
        <v>8.8000000000000007</v>
      </c>
      <c r="U36" s="132">
        <f t="shared" si="13"/>
        <v>8.8000000000000007</v>
      </c>
      <c r="V36" s="132">
        <f t="shared" si="13"/>
        <v>8.8000000000000007</v>
      </c>
      <c r="W36" s="132">
        <f t="shared" si="13"/>
        <v>8.8000000000000007</v>
      </c>
      <c r="X36" s="132">
        <f t="shared" si="13"/>
        <v>8.8000000000000007</v>
      </c>
      <c r="Y36" s="132">
        <f t="shared" si="13"/>
        <v>8.8000000000000007</v>
      </c>
      <c r="Z36" s="132">
        <f t="shared" si="13"/>
        <v>8.8000000000000007</v>
      </c>
      <c r="AA36" s="132">
        <f t="shared" si="13"/>
        <v>8.8000000000000007</v>
      </c>
      <c r="AB36" s="192">
        <f t="shared" si="13"/>
        <v>8.8000000000000007</v>
      </c>
      <c r="AC36" s="132">
        <f t="shared" si="13"/>
        <v>6.16</v>
      </c>
      <c r="AD36" s="14"/>
      <c r="AE36" s="14"/>
      <c r="AF36" s="14"/>
      <c r="AG36" s="14"/>
      <c r="AH36" s="14"/>
    </row>
    <row r="37" spans="1:34" x14ac:dyDescent="0.2">
      <c r="A37" s="202" t="s">
        <v>121</v>
      </c>
      <c r="B37" s="360">
        <f>B34*$B$2</f>
        <v>5.0141207874541198</v>
      </c>
      <c r="C37" s="360">
        <f t="shared" ref="C37:AC37" si="14">C34*$B$2</f>
        <v>5.0141207874541198</v>
      </c>
      <c r="D37" s="360">
        <f t="shared" si="14"/>
        <v>5.0141207874541198</v>
      </c>
      <c r="E37" s="360">
        <f t="shared" si="14"/>
        <v>5.0141207874541198</v>
      </c>
      <c r="F37" s="360">
        <f t="shared" si="14"/>
        <v>5.0141207874541198</v>
      </c>
      <c r="G37" s="360">
        <f t="shared" si="14"/>
        <v>5.0141207874541198</v>
      </c>
      <c r="H37" s="360">
        <f t="shared" si="14"/>
        <v>5.7304237570904224</v>
      </c>
      <c r="I37" s="360">
        <f t="shared" si="14"/>
        <v>5.7304237570904224</v>
      </c>
      <c r="J37" s="360">
        <f t="shared" si="14"/>
        <v>5.7304237570904224</v>
      </c>
      <c r="K37" s="360">
        <f t="shared" si="14"/>
        <v>6.446726726726725</v>
      </c>
      <c r="L37" s="360">
        <f t="shared" si="14"/>
        <v>6.446726726726725</v>
      </c>
      <c r="M37" s="360">
        <f t="shared" si="14"/>
        <v>6.446726726726725</v>
      </c>
      <c r="N37" s="360">
        <f t="shared" si="14"/>
        <v>7.1630296963630276</v>
      </c>
      <c r="O37" s="360">
        <f t="shared" si="14"/>
        <v>7.1630296963630276</v>
      </c>
      <c r="P37" s="360">
        <f t="shared" si="14"/>
        <v>7.1630296963630276</v>
      </c>
      <c r="Q37" s="360">
        <f t="shared" si="14"/>
        <v>7.1630296963630276</v>
      </c>
      <c r="R37" s="360">
        <f t="shared" si="14"/>
        <v>7.1630296963630276</v>
      </c>
      <c r="S37" s="360">
        <f t="shared" si="14"/>
        <v>7.1630296963630276</v>
      </c>
      <c r="T37" s="360">
        <f t="shared" si="14"/>
        <v>7.1630296963630276</v>
      </c>
      <c r="U37" s="360">
        <f t="shared" si="14"/>
        <v>7.1630296963630276</v>
      </c>
      <c r="V37" s="360">
        <f t="shared" si="14"/>
        <v>7.1630296963630276</v>
      </c>
      <c r="W37" s="360">
        <f t="shared" si="14"/>
        <v>7.1630296963630276</v>
      </c>
      <c r="X37" s="360">
        <f t="shared" si="14"/>
        <v>7.1630296963630276</v>
      </c>
      <c r="Y37" s="360">
        <f t="shared" si="14"/>
        <v>7.1630296963630276</v>
      </c>
      <c r="Z37" s="360">
        <f t="shared" si="14"/>
        <v>7.1630296963630276</v>
      </c>
      <c r="AA37" s="360">
        <f t="shared" si="14"/>
        <v>7.1630296963630276</v>
      </c>
      <c r="AB37" s="360">
        <f t="shared" si="14"/>
        <v>7.1630296963630276</v>
      </c>
      <c r="AC37" s="360">
        <f t="shared" si="14"/>
        <v>5.0141207874541198</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4.2964964964964949</v>
      </c>
      <c r="C39" s="323">
        <f t="shared" si="15"/>
        <v>4.2964964964964949</v>
      </c>
      <c r="D39" s="323">
        <f t="shared" si="15"/>
        <v>4.2964964964964949</v>
      </c>
      <c r="E39" s="323">
        <f t="shared" si="15"/>
        <v>4.2964964964964949</v>
      </c>
      <c r="F39" s="323">
        <f t="shared" si="15"/>
        <v>4.2964964964964949</v>
      </c>
      <c r="G39" s="323">
        <f t="shared" si="15"/>
        <v>4.2964964964964949</v>
      </c>
      <c r="H39" s="323">
        <f t="shared" si="15"/>
        <v>4.9102817102817085</v>
      </c>
      <c r="I39" s="323">
        <f t="shared" si="15"/>
        <v>4.9102817102817085</v>
      </c>
      <c r="J39" s="323">
        <f t="shared" si="15"/>
        <v>4.9102817102817085</v>
      </c>
      <c r="K39" s="323">
        <f t="shared" si="15"/>
        <v>5.524066924066922</v>
      </c>
      <c r="L39" s="323">
        <f t="shared" si="15"/>
        <v>5.524066924066922</v>
      </c>
      <c r="M39" s="323">
        <f t="shared" si="15"/>
        <v>5.524066924066922</v>
      </c>
      <c r="N39" s="323">
        <f t="shared" si="15"/>
        <v>6.1378521378521356</v>
      </c>
      <c r="O39" s="323">
        <f t="shared" si="15"/>
        <v>6.1378521378521356</v>
      </c>
      <c r="P39" s="323">
        <f t="shared" si="15"/>
        <v>6.1378521378521356</v>
      </c>
      <c r="Q39" s="323">
        <f t="shared" si="15"/>
        <v>6.1378521378521356</v>
      </c>
      <c r="R39" s="323">
        <f t="shared" si="15"/>
        <v>6.1378521378521356</v>
      </c>
      <c r="S39" s="323">
        <f t="shared" si="15"/>
        <v>6.1378521378521356</v>
      </c>
      <c r="T39" s="323">
        <f t="shared" si="15"/>
        <v>6.1378521378521356</v>
      </c>
      <c r="U39" s="323">
        <f t="shared" si="15"/>
        <v>6.1378521378521356</v>
      </c>
      <c r="V39" s="323">
        <f t="shared" si="15"/>
        <v>6.1378521378521356</v>
      </c>
      <c r="W39" s="323">
        <f t="shared" si="15"/>
        <v>6.1378521378521356</v>
      </c>
      <c r="X39" s="323">
        <f t="shared" si="15"/>
        <v>6.1378521378521356</v>
      </c>
      <c r="Y39" s="323">
        <f t="shared" si="15"/>
        <v>6.1378521378521356</v>
      </c>
      <c r="Z39" s="323">
        <f t="shared" si="15"/>
        <v>6.1378521378521356</v>
      </c>
      <c r="AA39" s="323">
        <f t="shared" si="15"/>
        <v>6.1378521378521356</v>
      </c>
      <c r="AB39" s="323">
        <f t="shared" si="15"/>
        <v>6.1378521378521356</v>
      </c>
      <c r="AC39" s="323">
        <f t="shared" si="15"/>
        <v>4.2964964964964949</v>
      </c>
      <c r="AD39" s="224"/>
      <c r="AE39" s="224"/>
    </row>
    <row r="40" spans="1:34" s="225" customFormat="1" ht="12.75" x14ac:dyDescent="0.2">
      <c r="A40" s="240" t="s">
        <v>124</v>
      </c>
      <c r="B40" s="323">
        <f t="shared" ref="B40:AC40" si="16">IF($B145&gt;=0.9, B$36,B$36*$B145)</f>
        <v>0.93549549549549538</v>
      </c>
      <c r="C40" s="323">
        <f t="shared" si="16"/>
        <v>0.93549549549549538</v>
      </c>
      <c r="D40" s="323">
        <f t="shared" si="16"/>
        <v>0.93549549549549538</v>
      </c>
      <c r="E40" s="323">
        <f t="shared" si="16"/>
        <v>0.93549549549549538</v>
      </c>
      <c r="F40" s="323">
        <f t="shared" si="16"/>
        <v>0.93549549549549538</v>
      </c>
      <c r="G40" s="323">
        <f t="shared" si="16"/>
        <v>0.93549549549549538</v>
      </c>
      <c r="H40" s="323">
        <f t="shared" si="16"/>
        <v>1.069137709137709</v>
      </c>
      <c r="I40" s="323">
        <f t="shared" si="16"/>
        <v>1.069137709137709</v>
      </c>
      <c r="J40" s="323">
        <f t="shared" si="16"/>
        <v>1.069137709137709</v>
      </c>
      <c r="K40" s="323">
        <f t="shared" si="16"/>
        <v>1.2027799227799227</v>
      </c>
      <c r="L40" s="323">
        <f t="shared" si="16"/>
        <v>1.2027799227799227</v>
      </c>
      <c r="M40" s="323">
        <f t="shared" si="16"/>
        <v>1.2027799227799227</v>
      </c>
      <c r="N40" s="323">
        <f t="shared" si="16"/>
        <v>1.3364221364221365</v>
      </c>
      <c r="O40" s="323">
        <f t="shared" si="16"/>
        <v>1.3364221364221365</v>
      </c>
      <c r="P40" s="323">
        <f t="shared" si="16"/>
        <v>1.3364221364221365</v>
      </c>
      <c r="Q40" s="323">
        <f t="shared" si="16"/>
        <v>1.3364221364221365</v>
      </c>
      <c r="R40" s="323">
        <f t="shared" si="16"/>
        <v>1.3364221364221365</v>
      </c>
      <c r="S40" s="323">
        <f t="shared" si="16"/>
        <v>1.3364221364221365</v>
      </c>
      <c r="T40" s="323">
        <f t="shared" si="16"/>
        <v>1.3364221364221365</v>
      </c>
      <c r="U40" s="323">
        <f t="shared" si="16"/>
        <v>1.3364221364221365</v>
      </c>
      <c r="V40" s="323">
        <f t="shared" si="16"/>
        <v>1.3364221364221365</v>
      </c>
      <c r="W40" s="323">
        <f t="shared" si="16"/>
        <v>1.3364221364221365</v>
      </c>
      <c r="X40" s="323">
        <f t="shared" si="16"/>
        <v>1.3364221364221365</v>
      </c>
      <c r="Y40" s="323">
        <f t="shared" si="16"/>
        <v>1.3364221364221365</v>
      </c>
      <c r="Z40" s="323">
        <f t="shared" si="16"/>
        <v>1.3364221364221365</v>
      </c>
      <c r="AA40" s="323">
        <f t="shared" si="16"/>
        <v>1.3364221364221365</v>
      </c>
      <c r="AB40" s="323">
        <f t="shared" si="16"/>
        <v>1.3364221364221365</v>
      </c>
      <c r="AC40" s="323">
        <f t="shared" si="16"/>
        <v>0.93549549549549538</v>
      </c>
      <c r="AD40" s="224"/>
      <c r="AE40" s="224"/>
    </row>
    <row r="41" spans="1:34" s="225" customFormat="1" ht="12.75" x14ac:dyDescent="0.2">
      <c r="A41" s="240" t="s">
        <v>125</v>
      </c>
      <c r="B41" s="323">
        <f t="shared" ref="B41:AC41" si="17">IF($B146&gt;=0.9, B$36,B$36*$B146)</f>
        <v>2.4492892892892888</v>
      </c>
      <c r="C41" s="323">
        <f t="shared" si="17"/>
        <v>2.4492892892892888</v>
      </c>
      <c r="D41" s="323">
        <f t="shared" si="17"/>
        <v>2.4492892892892888</v>
      </c>
      <c r="E41" s="323">
        <f t="shared" si="17"/>
        <v>2.4492892892892888</v>
      </c>
      <c r="F41" s="323">
        <f t="shared" si="17"/>
        <v>2.4492892892892888</v>
      </c>
      <c r="G41" s="323">
        <f t="shared" si="17"/>
        <v>2.4492892892892888</v>
      </c>
      <c r="H41" s="323">
        <f t="shared" si="17"/>
        <v>2.7991877591877588</v>
      </c>
      <c r="I41" s="323">
        <f t="shared" si="17"/>
        <v>2.7991877591877588</v>
      </c>
      <c r="J41" s="323">
        <f t="shared" si="17"/>
        <v>2.7991877591877588</v>
      </c>
      <c r="K41" s="323">
        <f t="shared" si="17"/>
        <v>3.1490862290862283</v>
      </c>
      <c r="L41" s="323">
        <f t="shared" si="17"/>
        <v>3.1490862290862283</v>
      </c>
      <c r="M41" s="323">
        <f t="shared" si="17"/>
        <v>3.1490862290862283</v>
      </c>
      <c r="N41" s="323">
        <f t="shared" si="17"/>
        <v>3.4989846989846987</v>
      </c>
      <c r="O41" s="323">
        <f t="shared" si="17"/>
        <v>3.4989846989846987</v>
      </c>
      <c r="P41" s="323">
        <f t="shared" si="17"/>
        <v>3.4989846989846987</v>
      </c>
      <c r="Q41" s="323">
        <f t="shared" si="17"/>
        <v>3.4989846989846987</v>
      </c>
      <c r="R41" s="323">
        <f t="shared" si="17"/>
        <v>3.4989846989846987</v>
      </c>
      <c r="S41" s="323">
        <f t="shared" si="17"/>
        <v>3.4989846989846987</v>
      </c>
      <c r="T41" s="323">
        <f t="shared" si="17"/>
        <v>3.4989846989846987</v>
      </c>
      <c r="U41" s="323">
        <f t="shared" si="17"/>
        <v>3.4989846989846987</v>
      </c>
      <c r="V41" s="323">
        <f t="shared" si="17"/>
        <v>3.4989846989846987</v>
      </c>
      <c r="W41" s="323">
        <f t="shared" si="17"/>
        <v>3.4989846989846987</v>
      </c>
      <c r="X41" s="323">
        <f t="shared" si="17"/>
        <v>3.4989846989846987</v>
      </c>
      <c r="Y41" s="323">
        <f t="shared" si="17"/>
        <v>3.4989846989846987</v>
      </c>
      <c r="Z41" s="323">
        <f t="shared" si="17"/>
        <v>3.4989846989846987</v>
      </c>
      <c r="AA41" s="323">
        <f t="shared" si="17"/>
        <v>3.4989846989846987</v>
      </c>
      <c r="AB41" s="323">
        <f t="shared" si="17"/>
        <v>3.4989846989846987</v>
      </c>
      <c r="AC41" s="323">
        <f t="shared" si="17"/>
        <v>2.4492892892892888</v>
      </c>
      <c r="AD41" s="224"/>
      <c r="AE41" s="224"/>
    </row>
    <row r="42" spans="1:34" s="225" customFormat="1" ht="12.75" x14ac:dyDescent="0.2">
      <c r="A42" s="240" t="s">
        <v>126</v>
      </c>
      <c r="B42" s="323">
        <f t="shared" ref="B42:AC42" si="18">IF($B147&gt;=0.9, B$36,B$36*$B147)</f>
        <v>4.2251451451451434</v>
      </c>
      <c r="C42" s="323">
        <f t="shared" si="18"/>
        <v>4.2251451451451434</v>
      </c>
      <c r="D42" s="323">
        <f t="shared" si="18"/>
        <v>4.2251451451451434</v>
      </c>
      <c r="E42" s="323">
        <f t="shared" si="18"/>
        <v>4.2251451451451434</v>
      </c>
      <c r="F42" s="323">
        <f t="shared" si="18"/>
        <v>4.2251451451451434</v>
      </c>
      <c r="G42" s="323">
        <f t="shared" si="18"/>
        <v>4.2251451451451434</v>
      </c>
      <c r="H42" s="323">
        <f t="shared" si="18"/>
        <v>4.8287373087373071</v>
      </c>
      <c r="I42" s="323">
        <f t="shared" si="18"/>
        <v>4.8287373087373071</v>
      </c>
      <c r="J42" s="323">
        <f t="shared" si="18"/>
        <v>4.8287373087373071</v>
      </c>
      <c r="K42" s="323">
        <f t="shared" si="18"/>
        <v>5.4323294723294699</v>
      </c>
      <c r="L42" s="323">
        <f t="shared" si="18"/>
        <v>5.4323294723294699</v>
      </c>
      <c r="M42" s="323">
        <f t="shared" si="18"/>
        <v>5.4323294723294699</v>
      </c>
      <c r="N42" s="323">
        <f t="shared" si="18"/>
        <v>6.0359216359216346</v>
      </c>
      <c r="O42" s="323">
        <f t="shared" si="18"/>
        <v>6.0359216359216346</v>
      </c>
      <c r="P42" s="323">
        <f t="shared" si="18"/>
        <v>6.0359216359216346</v>
      </c>
      <c r="Q42" s="323">
        <f t="shared" si="18"/>
        <v>6.0359216359216346</v>
      </c>
      <c r="R42" s="323">
        <f t="shared" si="18"/>
        <v>6.0359216359216346</v>
      </c>
      <c r="S42" s="323">
        <f t="shared" si="18"/>
        <v>6.0359216359216346</v>
      </c>
      <c r="T42" s="323">
        <f t="shared" si="18"/>
        <v>6.0359216359216346</v>
      </c>
      <c r="U42" s="323">
        <f t="shared" si="18"/>
        <v>6.0359216359216346</v>
      </c>
      <c r="V42" s="323">
        <f t="shared" si="18"/>
        <v>6.0359216359216346</v>
      </c>
      <c r="W42" s="323">
        <f t="shared" si="18"/>
        <v>6.0359216359216346</v>
      </c>
      <c r="X42" s="323">
        <f t="shared" si="18"/>
        <v>6.0359216359216346</v>
      </c>
      <c r="Y42" s="323">
        <f t="shared" si="18"/>
        <v>6.0359216359216346</v>
      </c>
      <c r="Z42" s="323">
        <f t="shared" si="18"/>
        <v>6.0359216359216346</v>
      </c>
      <c r="AA42" s="323">
        <f t="shared" si="18"/>
        <v>6.0359216359216346</v>
      </c>
      <c r="AB42" s="323">
        <f t="shared" si="18"/>
        <v>6.0359216359216346</v>
      </c>
      <c r="AC42" s="323">
        <f t="shared" si="18"/>
        <v>4.2251451451451434</v>
      </c>
      <c r="AD42" s="224"/>
      <c r="AE42" s="224"/>
    </row>
    <row r="43" spans="1:34" s="225" customFormat="1" ht="12.75" x14ac:dyDescent="0.2">
      <c r="A43" s="240" t="s">
        <v>127</v>
      </c>
      <c r="B43" s="323">
        <f t="shared" ref="B43:AC43" si="19">IF($B148&gt;=0.9, B$36,B$36*$B148)</f>
        <v>4.2964964964964949</v>
      </c>
      <c r="C43" s="323">
        <f t="shared" si="19"/>
        <v>4.2964964964964949</v>
      </c>
      <c r="D43" s="323">
        <f t="shared" si="19"/>
        <v>4.2964964964964949</v>
      </c>
      <c r="E43" s="323">
        <f t="shared" si="19"/>
        <v>4.2964964964964949</v>
      </c>
      <c r="F43" s="323">
        <f t="shared" si="19"/>
        <v>4.2964964964964949</v>
      </c>
      <c r="G43" s="323">
        <f t="shared" si="19"/>
        <v>4.2964964964964949</v>
      </c>
      <c r="H43" s="323">
        <f t="shared" si="19"/>
        <v>4.9102817102817085</v>
      </c>
      <c r="I43" s="323">
        <f t="shared" si="19"/>
        <v>4.9102817102817085</v>
      </c>
      <c r="J43" s="323">
        <f t="shared" si="19"/>
        <v>4.9102817102817085</v>
      </c>
      <c r="K43" s="323">
        <f t="shared" si="19"/>
        <v>5.524066924066922</v>
      </c>
      <c r="L43" s="323">
        <f t="shared" si="19"/>
        <v>5.524066924066922</v>
      </c>
      <c r="M43" s="323">
        <f t="shared" si="19"/>
        <v>5.524066924066922</v>
      </c>
      <c r="N43" s="323">
        <f t="shared" si="19"/>
        <v>6.1378521378521356</v>
      </c>
      <c r="O43" s="323">
        <f t="shared" si="19"/>
        <v>6.1378521378521356</v>
      </c>
      <c r="P43" s="323">
        <f t="shared" si="19"/>
        <v>6.1378521378521356</v>
      </c>
      <c r="Q43" s="323">
        <f t="shared" si="19"/>
        <v>6.1378521378521356</v>
      </c>
      <c r="R43" s="323">
        <f t="shared" si="19"/>
        <v>6.1378521378521356</v>
      </c>
      <c r="S43" s="323">
        <f t="shared" si="19"/>
        <v>6.1378521378521356</v>
      </c>
      <c r="T43" s="323">
        <f t="shared" si="19"/>
        <v>6.1378521378521356</v>
      </c>
      <c r="U43" s="323">
        <f t="shared" si="19"/>
        <v>6.1378521378521356</v>
      </c>
      <c r="V43" s="323">
        <f t="shared" si="19"/>
        <v>6.1378521378521356</v>
      </c>
      <c r="W43" s="323">
        <f t="shared" si="19"/>
        <v>6.1378521378521356</v>
      </c>
      <c r="X43" s="323">
        <f t="shared" si="19"/>
        <v>6.1378521378521356</v>
      </c>
      <c r="Y43" s="323">
        <f t="shared" si="19"/>
        <v>6.1378521378521356</v>
      </c>
      <c r="Z43" s="323">
        <f t="shared" si="19"/>
        <v>6.1378521378521356</v>
      </c>
      <c r="AA43" s="323">
        <f t="shared" si="19"/>
        <v>6.1378521378521356</v>
      </c>
      <c r="AB43" s="323">
        <f t="shared" si="19"/>
        <v>6.1378521378521356</v>
      </c>
      <c r="AC43" s="323">
        <f t="shared" si="19"/>
        <v>4.2964964964964949</v>
      </c>
      <c r="AD43" s="224"/>
      <c r="AE43" s="224"/>
    </row>
    <row r="44" spans="1:34" s="225" customFormat="1" ht="12.75" x14ac:dyDescent="0.2">
      <c r="A44" s="240" t="s">
        <v>128</v>
      </c>
      <c r="B44" s="323">
        <f t="shared" ref="B44:AC44" si="20">IF($B149&gt;=0.9, B$36,B$36*$B149)</f>
        <v>4.2964964964964949</v>
      </c>
      <c r="C44" s="323">
        <f t="shared" si="20"/>
        <v>4.2964964964964949</v>
      </c>
      <c r="D44" s="323">
        <f t="shared" si="20"/>
        <v>4.2964964964964949</v>
      </c>
      <c r="E44" s="323">
        <f t="shared" si="20"/>
        <v>4.2964964964964949</v>
      </c>
      <c r="F44" s="323">
        <f t="shared" si="20"/>
        <v>4.2964964964964949</v>
      </c>
      <c r="G44" s="323">
        <f t="shared" si="20"/>
        <v>4.2964964964964949</v>
      </c>
      <c r="H44" s="323">
        <f t="shared" si="20"/>
        <v>4.9102817102817085</v>
      </c>
      <c r="I44" s="323">
        <f t="shared" si="20"/>
        <v>4.9102817102817085</v>
      </c>
      <c r="J44" s="323">
        <f t="shared" si="20"/>
        <v>4.9102817102817085</v>
      </c>
      <c r="K44" s="323">
        <f t="shared" si="20"/>
        <v>5.524066924066922</v>
      </c>
      <c r="L44" s="323">
        <f t="shared" si="20"/>
        <v>5.524066924066922</v>
      </c>
      <c r="M44" s="323">
        <f t="shared" si="20"/>
        <v>5.524066924066922</v>
      </c>
      <c r="N44" s="323">
        <f t="shared" si="20"/>
        <v>6.1378521378521356</v>
      </c>
      <c r="O44" s="323">
        <f t="shared" si="20"/>
        <v>6.1378521378521356</v>
      </c>
      <c r="P44" s="323">
        <f t="shared" si="20"/>
        <v>6.1378521378521356</v>
      </c>
      <c r="Q44" s="323">
        <f t="shared" si="20"/>
        <v>6.1378521378521356</v>
      </c>
      <c r="R44" s="323">
        <f t="shared" si="20"/>
        <v>6.1378521378521356</v>
      </c>
      <c r="S44" s="323">
        <f t="shared" si="20"/>
        <v>6.1378521378521356</v>
      </c>
      <c r="T44" s="323">
        <f t="shared" si="20"/>
        <v>6.1378521378521356</v>
      </c>
      <c r="U44" s="323">
        <f t="shared" si="20"/>
        <v>6.1378521378521356</v>
      </c>
      <c r="V44" s="323">
        <f t="shared" si="20"/>
        <v>6.1378521378521356</v>
      </c>
      <c r="W44" s="323">
        <f t="shared" si="20"/>
        <v>6.1378521378521356</v>
      </c>
      <c r="X44" s="323">
        <f t="shared" si="20"/>
        <v>6.1378521378521356</v>
      </c>
      <c r="Y44" s="323">
        <f t="shared" si="20"/>
        <v>6.1378521378521356</v>
      </c>
      <c r="Z44" s="323">
        <f t="shared" si="20"/>
        <v>6.1378521378521356</v>
      </c>
      <c r="AA44" s="323">
        <f t="shared" si="20"/>
        <v>6.1378521378521356</v>
      </c>
      <c r="AB44" s="323">
        <f t="shared" si="20"/>
        <v>6.1378521378521356</v>
      </c>
      <c r="AC44" s="323">
        <f t="shared" si="20"/>
        <v>4.2964964964964949</v>
      </c>
      <c r="AD44" s="224"/>
      <c r="AE44" s="224"/>
    </row>
    <row r="45" spans="1:34" s="225" customFormat="1" ht="12.75" x14ac:dyDescent="0.2">
      <c r="A45" s="240" t="s">
        <v>129</v>
      </c>
      <c r="B45" s="323">
        <f>IF(B$13="Deploy",B$36,IF($B150&gt;=0.9, B$36,B$36*$B150))</f>
        <v>2.1528728728728725</v>
      </c>
      <c r="C45" s="323">
        <f t="shared" ref="C45:AC45" si="21">IF(C$13="Deploy",C$36,IF($B150&gt;=0.9, C$36,C$36*$B150))</f>
        <v>2.1528728728728725</v>
      </c>
      <c r="D45" s="323">
        <f t="shared" si="21"/>
        <v>2.1528728728728725</v>
      </c>
      <c r="E45" s="323">
        <f t="shared" si="21"/>
        <v>2.1528728728728725</v>
      </c>
      <c r="F45" s="323">
        <f t="shared" si="21"/>
        <v>2.1528728728728725</v>
      </c>
      <c r="G45" s="323">
        <f t="shared" si="21"/>
        <v>2.1528728728728725</v>
      </c>
      <c r="H45" s="323">
        <f t="shared" si="21"/>
        <v>2.4604261404261401</v>
      </c>
      <c r="I45" s="323">
        <f t="shared" si="21"/>
        <v>2.4604261404261401</v>
      </c>
      <c r="J45" s="323">
        <f t="shared" si="21"/>
        <v>2.4604261404261401</v>
      </c>
      <c r="K45" s="323">
        <f t="shared" si="21"/>
        <v>2.7679794079794076</v>
      </c>
      <c r="L45" s="323">
        <f t="shared" si="21"/>
        <v>2.7679794079794076</v>
      </c>
      <c r="M45" s="323">
        <f t="shared" si="21"/>
        <v>2.7679794079794076</v>
      </c>
      <c r="N45" s="323">
        <f t="shared" si="21"/>
        <v>3.0755326755326751</v>
      </c>
      <c r="O45" s="323">
        <f t="shared" si="21"/>
        <v>3.0755326755326751</v>
      </c>
      <c r="P45" s="323">
        <f t="shared" si="21"/>
        <v>3.0755326755326751</v>
      </c>
      <c r="Q45" s="323">
        <f t="shared" si="21"/>
        <v>3.0755326755326751</v>
      </c>
      <c r="R45" s="323">
        <f t="shared" si="21"/>
        <v>8.8000000000000007</v>
      </c>
      <c r="S45" s="323">
        <f t="shared" si="21"/>
        <v>8.8000000000000007</v>
      </c>
      <c r="T45" s="323">
        <f t="shared" si="21"/>
        <v>8.8000000000000007</v>
      </c>
      <c r="U45" s="323">
        <f t="shared" si="21"/>
        <v>8.8000000000000007</v>
      </c>
      <c r="V45" s="323">
        <f t="shared" si="21"/>
        <v>8.8000000000000007</v>
      </c>
      <c r="W45" s="323">
        <f t="shared" si="21"/>
        <v>8.8000000000000007</v>
      </c>
      <c r="X45" s="323">
        <f t="shared" si="21"/>
        <v>3.0755326755326751</v>
      </c>
      <c r="Y45" s="323">
        <f t="shared" si="21"/>
        <v>3.0755326755326751</v>
      </c>
      <c r="Z45" s="323">
        <f t="shared" si="21"/>
        <v>3.0755326755326751</v>
      </c>
      <c r="AA45" s="323">
        <f t="shared" si="21"/>
        <v>3.0755326755326751</v>
      </c>
      <c r="AB45" s="323">
        <f t="shared" si="21"/>
        <v>3.0755326755326751</v>
      </c>
      <c r="AC45" s="323">
        <f t="shared" si="21"/>
        <v>2.1528728728728725</v>
      </c>
      <c r="AD45" s="224"/>
      <c r="AE45" s="224"/>
    </row>
    <row r="46" spans="1:34" s="225" customFormat="1" ht="12.75" x14ac:dyDescent="0.2">
      <c r="A46" s="240" t="s">
        <v>130</v>
      </c>
      <c r="B46" s="323">
        <f t="shared" ref="B46:AC46" si="22">IF($B151&gt;=0.9, B$36,B$36*$B151)</f>
        <v>4.5858658658658644</v>
      </c>
      <c r="C46" s="323">
        <f t="shared" si="22"/>
        <v>4.5858658658658644</v>
      </c>
      <c r="D46" s="323">
        <f t="shared" si="22"/>
        <v>4.5858658658658644</v>
      </c>
      <c r="E46" s="323">
        <f t="shared" si="22"/>
        <v>4.5858658658658644</v>
      </c>
      <c r="F46" s="323">
        <f t="shared" si="22"/>
        <v>4.5858658658658644</v>
      </c>
      <c r="G46" s="323">
        <f t="shared" si="22"/>
        <v>4.5858658658658644</v>
      </c>
      <c r="H46" s="323">
        <f t="shared" si="22"/>
        <v>5.2409895609895587</v>
      </c>
      <c r="I46" s="323">
        <f t="shared" si="22"/>
        <v>5.2409895609895587</v>
      </c>
      <c r="J46" s="323">
        <f t="shared" si="22"/>
        <v>5.2409895609895587</v>
      </c>
      <c r="K46" s="323">
        <f t="shared" si="22"/>
        <v>5.8961132561132539</v>
      </c>
      <c r="L46" s="323">
        <f t="shared" si="22"/>
        <v>5.8961132561132539</v>
      </c>
      <c r="M46" s="323">
        <f t="shared" si="22"/>
        <v>5.8961132561132539</v>
      </c>
      <c r="N46" s="323">
        <f t="shared" si="22"/>
        <v>6.551236951236949</v>
      </c>
      <c r="O46" s="323">
        <f t="shared" si="22"/>
        <v>6.551236951236949</v>
      </c>
      <c r="P46" s="323">
        <f t="shared" si="22"/>
        <v>6.551236951236949</v>
      </c>
      <c r="Q46" s="323">
        <f t="shared" si="22"/>
        <v>6.551236951236949</v>
      </c>
      <c r="R46" s="323">
        <f t="shared" si="22"/>
        <v>6.551236951236949</v>
      </c>
      <c r="S46" s="323">
        <f t="shared" si="22"/>
        <v>6.551236951236949</v>
      </c>
      <c r="T46" s="323">
        <f t="shared" si="22"/>
        <v>6.551236951236949</v>
      </c>
      <c r="U46" s="323">
        <f t="shared" si="22"/>
        <v>6.551236951236949</v>
      </c>
      <c r="V46" s="323">
        <f t="shared" si="22"/>
        <v>6.551236951236949</v>
      </c>
      <c r="W46" s="323">
        <f t="shared" si="22"/>
        <v>6.551236951236949</v>
      </c>
      <c r="X46" s="323">
        <f t="shared" si="22"/>
        <v>6.551236951236949</v>
      </c>
      <c r="Y46" s="323">
        <f t="shared" si="22"/>
        <v>6.551236951236949</v>
      </c>
      <c r="Z46" s="323">
        <f t="shared" si="22"/>
        <v>6.551236951236949</v>
      </c>
      <c r="AA46" s="323">
        <f t="shared" si="22"/>
        <v>6.551236951236949</v>
      </c>
      <c r="AB46" s="323">
        <f t="shared" si="22"/>
        <v>6.551236951236949</v>
      </c>
      <c r="AC46" s="323">
        <f t="shared" si="22"/>
        <v>4.5858658658658644</v>
      </c>
      <c r="AD46" s="224"/>
      <c r="AE46" s="224"/>
    </row>
    <row r="47" spans="1:34" s="225" customFormat="1" ht="12.75" x14ac:dyDescent="0.2">
      <c r="A47" s="240" t="s">
        <v>131</v>
      </c>
      <c r="B47" s="323">
        <f>IF(B$13="Deploy",B$36,IF($B152&gt;=0.9, B$36,B$36*$B152))</f>
        <v>2.0081881881881878</v>
      </c>
      <c r="C47" s="323">
        <f t="shared" ref="C47:AC47" si="23">IF(C$13="Deploy",C$36,IF($B152&gt;=0.9, C$36,C$36*$B152))</f>
        <v>2.0081881881881878</v>
      </c>
      <c r="D47" s="323">
        <f t="shared" si="23"/>
        <v>2.0081881881881878</v>
      </c>
      <c r="E47" s="323">
        <f t="shared" si="23"/>
        <v>2.0081881881881878</v>
      </c>
      <c r="F47" s="323">
        <f t="shared" si="23"/>
        <v>2.0081881881881878</v>
      </c>
      <c r="G47" s="323">
        <f t="shared" si="23"/>
        <v>2.0081881881881878</v>
      </c>
      <c r="H47" s="323">
        <f t="shared" si="23"/>
        <v>2.2950722150722145</v>
      </c>
      <c r="I47" s="323">
        <f t="shared" si="23"/>
        <v>2.2950722150722145</v>
      </c>
      <c r="J47" s="323">
        <f t="shared" si="23"/>
        <v>2.2950722150722145</v>
      </c>
      <c r="K47" s="323">
        <f t="shared" si="23"/>
        <v>2.5819562419562416</v>
      </c>
      <c r="L47" s="323">
        <f t="shared" si="23"/>
        <v>2.5819562419562416</v>
      </c>
      <c r="M47" s="323">
        <f t="shared" si="23"/>
        <v>2.5819562419562416</v>
      </c>
      <c r="N47" s="323">
        <f t="shared" si="23"/>
        <v>2.8688402688402683</v>
      </c>
      <c r="O47" s="323">
        <f t="shared" si="23"/>
        <v>2.8688402688402683</v>
      </c>
      <c r="P47" s="323">
        <f t="shared" si="23"/>
        <v>2.8688402688402683</v>
      </c>
      <c r="Q47" s="323">
        <f t="shared" si="23"/>
        <v>2.8688402688402683</v>
      </c>
      <c r="R47" s="323">
        <f t="shared" si="23"/>
        <v>8.8000000000000007</v>
      </c>
      <c r="S47" s="323">
        <f t="shared" si="23"/>
        <v>8.8000000000000007</v>
      </c>
      <c r="T47" s="323">
        <f t="shared" si="23"/>
        <v>8.8000000000000007</v>
      </c>
      <c r="U47" s="323">
        <f t="shared" si="23"/>
        <v>8.8000000000000007</v>
      </c>
      <c r="V47" s="323">
        <f t="shared" si="23"/>
        <v>8.8000000000000007</v>
      </c>
      <c r="W47" s="323">
        <f t="shared" si="23"/>
        <v>8.8000000000000007</v>
      </c>
      <c r="X47" s="323">
        <f t="shared" si="23"/>
        <v>2.8688402688402683</v>
      </c>
      <c r="Y47" s="323">
        <f t="shared" si="23"/>
        <v>2.8688402688402683</v>
      </c>
      <c r="Z47" s="323">
        <f t="shared" si="23"/>
        <v>2.8688402688402683</v>
      </c>
      <c r="AA47" s="323">
        <f t="shared" si="23"/>
        <v>2.8688402688402683</v>
      </c>
      <c r="AB47" s="323">
        <f t="shared" si="23"/>
        <v>2.8688402688402683</v>
      </c>
      <c r="AC47" s="323">
        <f t="shared" si="23"/>
        <v>2.0081881881881878</v>
      </c>
      <c r="AD47" s="224"/>
      <c r="AE47" s="224"/>
    </row>
    <row r="48" spans="1:34" s="225" customFormat="1" ht="12.75" x14ac:dyDescent="0.2">
      <c r="A48" s="240" t="s">
        <v>132</v>
      </c>
      <c r="B48" s="323">
        <f t="shared" ref="B48:AC48" si="24">IF($B153&gt;=0.9, B$36,B$36*$B153)</f>
        <v>6.16</v>
      </c>
      <c r="C48" s="323">
        <f t="shared" si="24"/>
        <v>6.16</v>
      </c>
      <c r="D48" s="323">
        <f t="shared" si="24"/>
        <v>6.16</v>
      </c>
      <c r="E48" s="323">
        <f t="shared" si="24"/>
        <v>6.16</v>
      </c>
      <c r="F48" s="323">
        <f t="shared" si="24"/>
        <v>6.16</v>
      </c>
      <c r="G48" s="323">
        <f t="shared" si="24"/>
        <v>6.16</v>
      </c>
      <c r="H48" s="323">
        <f t="shared" si="24"/>
        <v>7.04</v>
      </c>
      <c r="I48" s="323">
        <f t="shared" si="24"/>
        <v>7.04</v>
      </c>
      <c r="J48" s="323">
        <f t="shared" si="24"/>
        <v>7.04</v>
      </c>
      <c r="K48" s="323">
        <f t="shared" si="24"/>
        <v>7.92</v>
      </c>
      <c r="L48" s="323">
        <f t="shared" si="24"/>
        <v>7.92</v>
      </c>
      <c r="M48" s="323">
        <f t="shared" si="24"/>
        <v>7.92</v>
      </c>
      <c r="N48" s="323">
        <f t="shared" si="24"/>
        <v>8.8000000000000007</v>
      </c>
      <c r="O48" s="323">
        <f t="shared" si="24"/>
        <v>8.8000000000000007</v>
      </c>
      <c r="P48" s="323">
        <f t="shared" si="24"/>
        <v>8.8000000000000007</v>
      </c>
      <c r="Q48" s="323">
        <f t="shared" si="24"/>
        <v>8.8000000000000007</v>
      </c>
      <c r="R48" s="323">
        <f t="shared" si="24"/>
        <v>8.8000000000000007</v>
      </c>
      <c r="S48" s="323">
        <f t="shared" si="24"/>
        <v>8.8000000000000007</v>
      </c>
      <c r="T48" s="323">
        <f t="shared" si="24"/>
        <v>8.8000000000000007</v>
      </c>
      <c r="U48" s="323">
        <f t="shared" si="24"/>
        <v>8.8000000000000007</v>
      </c>
      <c r="V48" s="323">
        <f t="shared" si="24"/>
        <v>8.8000000000000007</v>
      </c>
      <c r="W48" s="323">
        <f t="shared" si="24"/>
        <v>8.8000000000000007</v>
      </c>
      <c r="X48" s="323">
        <f t="shared" si="24"/>
        <v>8.8000000000000007</v>
      </c>
      <c r="Y48" s="323">
        <f t="shared" si="24"/>
        <v>8.8000000000000007</v>
      </c>
      <c r="Z48" s="323">
        <f t="shared" si="24"/>
        <v>8.8000000000000007</v>
      </c>
      <c r="AA48" s="323">
        <f t="shared" si="24"/>
        <v>8.8000000000000007</v>
      </c>
      <c r="AB48" s="323">
        <f t="shared" si="24"/>
        <v>8.8000000000000007</v>
      </c>
      <c r="AC48" s="323">
        <f t="shared" si="24"/>
        <v>6.16</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296" t="s">
        <v>134</v>
      </c>
      <c r="B50" s="134">
        <v>5</v>
      </c>
      <c r="C50" s="134">
        <v>5</v>
      </c>
      <c r="D50" s="134">
        <v>5</v>
      </c>
      <c r="E50" s="134">
        <v>5</v>
      </c>
      <c r="F50" s="134">
        <v>5</v>
      </c>
      <c r="G50" s="134">
        <v>5</v>
      </c>
      <c r="H50" s="134">
        <v>6</v>
      </c>
      <c r="I50" s="134">
        <v>6</v>
      </c>
      <c r="J50" s="134">
        <v>6</v>
      </c>
      <c r="K50" s="134">
        <v>7</v>
      </c>
      <c r="L50" s="134">
        <v>7</v>
      </c>
      <c r="M50" s="134">
        <v>7</v>
      </c>
      <c r="N50" s="134">
        <v>8</v>
      </c>
      <c r="O50" s="134">
        <v>8</v>
      </c>
      <c r="P50" s="134">
        <v>8</v>
      </c>
      <c r="Q50" s="134">
        <v>8</v>
      </c>
      <c r="R50" s="134">
        <v>8</v>
      </c>
      <c r="S50" s="134">
        <v>8</v>
      </c>
      <c r="T50" s="134">
        <v>8</v>
      </c>
      <c r="U50" s="134">
        <v>8</v>
      </c>
      <c r="V50" s="134">
        <v>8</v>
      </c>
      <c r="W50" s="134">
        <v>8</v>
      </c>
      <c r="X50" s="134">
        <v>8</v>
      </c>
      <c r="Y50" s="134">
        <v>8</v>
      </c>
      <c r="Z50" s="134">
        <v>8</v>
      </c>
      <c r="AA50" s="134">
        <v>8</v>
      </c>
      <c r="AB50" s="355">
        <v>8</v>
      </c>
      <c r="AC50" s="67">
        <v>5</v>
      </c>
      <c r="AD50" s="38"/>
      <c r="AE50" s="38"/>
      <c r="AF50" s="38"/>
      <c r="AG50" s="38"/>
      <c r="AH50" s="38"/>
    </row>
    <row r="51" spans="1:34" x14ac:dyDescent="0.2">
      <c r="A51" s="88" t="s">
        <v>135</v>
      </c>
      <c r="B51" s="134">
        <f t="shared" ref="B51:AC51" si="25">ROUND(1*B50,2)</f>
        <v>5</v>
      </c>
      <c r="C51" s="134">
        <f t="shared" si="25"/>
        <v>5</v>
      </c>
      <c r="D51" s="134">
        <f t="shared" si="25"/>
        <v>5</v>
      </c>
      <c r="E51" s="134">
        <f t="shared" si="25"/>
        <v>5</v>
      </c>
      <c r="F51" s="134">
        <f t="shared" si="25"/>
        <v>5</v>
      </c>
      <c r="G51" s="134">
        <f t="shared" si="25"/>
        <v>5</v>
      </c>
      <c r="H51" s="134">
        <f t="shared" si="25"/>
        <v>6</v>
      </c>
      <c r="I51" s="134">
        <f t="shared" si="25"/>
        <v>6</v>
      </c>
      <c r="J51" s="134">
        <f t="shared" si="25"/>
        <v>6</v>
      </c>
      <c r="K51" s="134">
        <f t="shared" si="25"/>
        <v>7</v>
      </c>
      <c r="L51" s="134">
        <f t="shared" si="25"/>
        <v>7</v>
      </c>
      <c r="M51" s="134">
        <f t="shared" si="25"/>
        <v>7</v>
      </c>
      <c r="N51" s="134">
        <f t="shared" si="25"/>
        <v>8</v>
      </c>
      <c r="O51" s="134">
        <f t="shared" si="25"/>
        <v>8</v>
      </c>
      <c r="P51" s="134">
        <f t="shared" si="25"/>
        <v>8</v>
      </c>
      <c r="Q51" s="134">
        <f t="shared" si="25"/>
        <v>8</v>
      </c>
      <c r="R51" s="134">
        <f t="shared" si="25"/>
        <v>8</v>
      </c>
      <c r="S51" s="134">
        <f t="shared" si="25"/>
        <v>8</v>
      </c>
      <c r="T51" s="134">
        <f t="shared" si="25"/>
        <v>8</v>
      </c>
      <c r="U51" s="134">
        <f t="shared" si="25"/>
        <v>8</v>
      </c>
      <c r="V51" s="134">
        <f t="shared" si="25"/>
        <v>8</v>
      </c>
      <c r="W51" s="134">
        <f t="shared" si="25"/>
        <v>8</v>
      </c>
      <c r="X51" s="134">
        <f t="shared" si="25"/>
        <v>8</v>
      </c>
      <c r="Y51" s="134">
        <f t="shared" si="25"/>
        <v>8</v>
      </c>
      <c r="Z51" s="134">
        <f t="shared" si="25"/>
        <v>8</v>
      </c>
      <c r="AA51" s="134">
        <f t="shared" si="25"/>
        <v>8</v>
      </c>
      <c r="AB51" s="355">
        <f t="shared" si="25"/>
        <v>8</v>
      </c>
      <c r="AC51" s="67">
        <f t="shared" si="25"/>
        <v>5</v>
      </c>
      <c r="AF51" s="14"/>
      <c r="AG51" s="14"/>
      <c r="AH51" s="14"/>
    </row>
    <row r="52" spans="1:34" s="30" customFormat="1" x14ac:dyDescent="0.2">
      <c r="A52" s="89" t="s">
        <v>136</v>
      </c>
      <c r="B52" s="91">
        <v>4</v>
      </c>
      <c r="C52" s="91">
        <v>4</v>
      </c>
      <c r="D52" s="91">
        <v>4</v>
      </c>
      <c r="E52" s="91">
        <v>4</v>
      </c>
      <c r="F52" s="91">
        <v>4</v>
      </c>
      <c r="G52" s="91">
        <v>4</v>
      </c>
      <c r="H52" s="91">
        <v>4</v>
      </c>
      <c r="I52" s="91">
        <v>5</v>
      </c>
      <c r="J52" s="91">
        <v>5</v>
      </c>
      <c r="K52" s="91">
        <v>6</v>
      </c>
      <c r="L52" s="91">
        <v>6</v>
      </c>
      <c r="M52" s="91">
        <v>6</v>
      </c>
      <c r="N52" s="91">
        <v>6</v>
      </c>
      <c r="O52" s="91">
        <v>6</v>
      </c>
      <c r="P52" s="91">
        <v>6</v>
      </c>
      <c r="Q52" s="91">
        <v>6</v>
      </c>
      <c r="R52" s="91">
        <v>6</v>
      </c>
      <c r="S52" s="91">
        <v>6</v>
      </c>
      <c r="T52" s="91">
        <v>6</v>
      </c>
      <c r="U52" s="91">
        <v>6</v>
      </c>
      <c r="V52" s="91">
        <v>6</v>
      </c>
      <c r="W52" s="91">
        <v>6</v>
      </c>
      <c r="X52" s="91">
        <v>6</v>
      </c>
      <c r="Y52" s="91">
        <v>6</v>
      </c>
      <c r="Z52" s="91">
        <v>6</v>
      </c>
      <c r="AA52" s="91">
        <v>6</v>
      </c>
      <c r="AB52" s="347">
        <v>6</v>
      </c>
      <c r="AC52" s="68">
        <v>6</v>
      </c>
      <c r="AF52" s="14"/>
      <c r="AG52" s="14"/>
      <c r="AH52" s="14"/>
    </row>
    <row r="53" spans="1:34" s="30" customFormat="1" x14ac:dyDescent="0.2">
      <c r="A53" s="89" t="s">
        <v>137</v>
      </c>
      <c r="B53" s="87">
        <v>3</v>
      </c>
      <c r="C53" s="87">
        <v>3</v>
      </c>
      <c r="D53" s="87">
        <v>3</v>
      </c>
      <c r="E53" s="87">
        <v>3</v>
      </c>
      <c r="F53" s="87">
        <v>3</v>
      </c>
      <c r="G53" s="87">
        <v>3</v>
      </c>
      <c r="H53" s="87">
        <v>3</v>
      </c>
      <c r="I53" s="87">
        <v>3.75</v>
      </c>
      <c r="J53" s="87">
        <v>3.75</v>
      </c>
      <c r="K53" s="87">
        <v>4.5</v>
      </c>
      <c r="L53" s="87">
        <v>4.5</v>
      </c>
      <c r="M53" s="87">
        <v>4.5</v>
      </c>
      <c r="N53" s="87">
        <v>4.5</v>
      </c>
      <c r="O53" s="87">
        <v>4.5</v>
      </c>
      <c r="P53" s="87">
        <v>4.5</v>
      </c>
      <c r="Q53" s="87">
        <v>4.5</v>
      </c>
      <c r="R53" s="87">
        <v>4.5</v>
      </c>
      <c r="S53" s="87">
        <v>4.5</v>
      </c>
      <c r="T53" s="87">
        <v>4.5</v>
      </c>
      <c r="U53" s="87">
        <v>4.5</v>
      </c>
      <c r="V53" s="87">
        <v>4.5</v>
      </c>
      <c r="W53" s="87">
        <v>4.5</v>
      </c>
      <c r="X53" s="87">
        <v>4.5</v>
      </c>
      <c r="Y53" s="87">
        <v>4.5</v>
      </c>
      <c r="Z53" s="87">
        <v>4.5</v>
      </c>
      <c r="AA53" s="87">
        <v>4.5</v>
      </c>
      <c r="AB53" s="348">
        <v>4.5</v>
      </c>
      <c r="AC53" s="65">
        <v>4.5</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17</v>
      </c>
      <c r="C55" s="41">
        <f t="shared" si="26"/>
        <v>17</v>
      </c>
      <c r="D55" s="41">
        <f t="shared" si="26"/>
        <v>17</v>
      </c>
      <c r="E55" s="41">
        <f t="shared" si="26"/>
        <v>17</v>
      </c>
      <c r="F55" s="41">
        <f t="shared" si="26"/>
        <v>17</v>
      </c>
      <c r="G55" s="41">
        <f t="shared" si="26"/>
        <v>17</v>
      </c>
      <c r="H55" s="41">
        <f t="shared" si="26"/>
        <v>17</v>
      </c>
      <c r="I55" s="41">
        <f t="shared" si="26"/>
        <v>17</v>
      </c>
      <c r="J55" s="41">
        <f t="shared" si="26"/>
        <v>17</v>
      </c>
      <c r="K55" s="41">
        <f t="shared" si="26"/>
        <v>17</v>
      </c>
      <c r="L55" s="41">
        <f t="shared" si="26"/>
        <v>17</v>
      </c>
      <c r="M55" s="41">
        <f t="shared" si="26"/>
        <v>17</v>
      </c>
      <c r="N55" s="41">
        <f t="shared" si="26"/>
        <v>17</v>
      </c>
      <c r="O55" s="41">
        <f t="shared" si="26"/>
        <v>17</v>
      </c>
      <c r="P55" s="41">
        <f t="shared" si="26"/>
        <v>17</v>
      </c>
      <c r="Q55" s="41">
        <f t="shared" si="26"/>
        <v>17</v>
      </c>
      <c r="R55" s="41">
        <f t="shared" si="26"/>
        <v>17</v>
      </c>
      <c r="S55" s="41">
        <f t="shared" si="26"/>
        <v>17</v>
      </c>
      <c r="T55" s="41">
        <f t="shared" si="26"/>
        <v>17</v>
      </c>
      <c r="U55" s="41">
        <f t="shared" si="26"/>
        <v>17</v>
      </c>
      <c r="V55" s="41">
        <f t="shared" si="26"/>
        <v>17</v>
      </c>
      <c r="W55" s="41">
        <f t="shared" si="26"/>
        <v>17</v>
      </c>
      <c r="X55" s="41">
        <f t="shared" si="26"/>
        <v>17</v>
      </c>
      <c r="Y55" s="41">
        <f t="shared" si="26"/>
        <v>17</v>
      </c>
      <c r="Z55" s="41">
        <f t="shared" si="26"/>
        <v>17</v>
      </c>
      <c r="AA55" s="41">
        <f t="shared" si="26"/>
        <v>17</v>
      </c>
      <c r="AB55" s="349">
        <f t="shared" si="26"/>
        <v>17</v>
      </c>
      <c r="AC55" s="112">
        <f t="shared" si="26"/>
        <v>17</v>
      </c>
    </row>
    <row r="56" spans="1:34" x14ac:dyDescent="0.2">
      <c r="A56" s="42" t="s">
        <v>140</v>
      </c>
      <c r="B56" s="43">
        <f t="shared" ref="B56:AC56" si="27">ROUNDUP(IF(B$13="Deploy",MAX((B$89/100)*$B96,$B96),(B$89/100)*$B96),0)</f>
        <v>7</v>
      </c>
      <c r="C56" s="43">
        <f t="shared" si="27"/>
        <v>7</v>
      </c>
      <c r="D56" s="43">
        <f t="shared" si="27"/>
        <v>7</v>
      </c>
      <c r="E56" s="43">
        <f t="shared" si="27"/>
        <v>7</v>
      </c>
      <c r="F56" s="43">
        <f t="shared" si="27"/>
        <v>7</v>
      </c>
      <c r="G56" s="43">
        <f t="shared" si="27"/>
        <v>7</v>
      </c>
      <c r="H56" s="43">
        <f t="shared" si="27"/>
        <v>8</v>
      </c>
      <c r="I56" s="43">
        <f t="shared" si="27"/>
        <v>10</v>
      </c>
      <c r="J56" s="43">
        <f t="shared" si="27"/>
        <v>11</v>
      </c>
      <c r="K56" s="43">
        <f t="shared" si="27"/>
        <v>11</v>
      </c>
      <c r="L56" s="43">
        <f t="shared" si="27"/>
        <v>13</v>
      </c>
      <c r="M56" s="43">
        <f t="shared" si="27"/>
        <v>15</v>
      </c>
      <c r="N56" s="43">
        <f t="shared" si="27"/>
        <v>15</v>
      </c>
      <c r="O56" s="43">
        <f t="shared" si="27"/>
        <v>15</v>
      </c>
      <c r="P56" s="43">
        <f t="shared" si="27"/>
        <v>15</v>
      </c>
      <c r="Q56" s="43">
        <f t="shared" si="27"/>
        <v>15</v>
      </c>
      <c r="R56" s="43">
        <f t="shared" si="27"/>
        <v>17</v>
      </c>
      <c r="S56" s="43">
        <f t="shared" si="27"/>
        <v>17</v>
      </c>
      <c r="T56" s="43">
        <f t="shared" si="27"/>
        <v>17</v>
      </c>
      <c r="U56" s="43">
        <f t="shared" si="27"/>
        <v>17</v>
      </c>
      <c r="V56" s="43">
        <f t="shared" si="27"/>
        <v>17</v>
      </c>
      <c r="W56" s="43">
        <f t="shared" si="27"/>
        <v>17</v>
      </c>
      <c r="X56" s="43">
        <f t="shared" si="27"/>
        <v>16</v>
      </c>
      <c r="Y56" s="43">
        <f t="shared" si="27"/>
        <v>16</v>
      </c>
      <c r="Z56" s="43">
        <f t="shared" si="27"/>
        <v>15</v>
      </c>
      <c r="AA56" s="43">
        <f t="shared" si="27"/>
        <v>15</v>
      </c>
      <c r="AB56" s="350">
        <f t="shared" si="27"/>
        <v>14</v>
      </c>
      <c r="AC56" s="43">
        <f t="shared" si="27"/>
        <v>7</v>
      </c>
    </row>
    <row r="57" spans="1:34" x14ac:dyDescent="0.2">
      <c r="A57" s="66" t="s">
        <v>141</v>
      </c>
      <c r="B57" s="69">
        <f>B55</f>
        <v>17</v>
      </c>
      <c r="C57" s="69">
        <f t="shared" ref="C57:AB58" si="28">C55</f>
        <v>17</v>
      </c>
      <c r="D57" s="69">
        <f t="shared" si="28"/>
        <v>17</v>
      </c>
      <c r="E57" s="69">
        <f t="shared" si="28"/>
        <v>17</v>
      </c>
      <c r="F57" s="69">
        <f t="shared" si="28"/>
        <v>17</v>
      </c>
      <c r="G57" s="69">
        <f t="shared" si="28"/>
        <v>17</v>
      </c>
      <c r="H57" s="69">
        <f t="shared" si="28"/>
        <v>17</v>
      </c>
      <c r="I57" s="69">
        <f t="shared" si="28"/>
        <v>17</v>
      </c>
      <c r="J57" s="69">
        <f t="shared" si="28"/>
        <v>17</v>
      </c>
      <c r="K57" s="69">
        <f t="shared" si="28"/>
        <v>17</v>
      </c>
      <c r="L57" s="69">
        <f t="shared" si="28"/>
        <v>17</v>
      </c>
      <c r="M57" s="69">
        <f t="shared" si="28"/>
        <v>17</v>
      </c>
      <c r="N57" s="69">
        <f t="shared" si="28"/>
        <v>17</v>
      </c>
      <c r="O57" s="69">
        <f t="shared" si="28"/>
        <v>17</v>
      </c>
      <c r="P57" s="69">
        <f t="shared" si="28"/>
        <v>17</v>
      </c>
      <c r="Q57" s="69">
        <f t="shared" si="28"/>
        <v>17</v>
      </c>
      <c r="R57" s="69">
        <f t="shared" si="28"/>
        <v>17</v>
      </c>
      <c r="S57" s="69">
        <f t="shared" si="28"/>
        <v>17</v>
      </c>
      <c r="T57" s="69">
        <f t="shared" si="28"/>
        <v>17</v>
      </c>
      <c r="U57" s="69">
        <f t="shared" si="28"/>
        <v>17</v>
      </c>
      <c r="V57" s="69">
        <f t="shared" si="28"/>
        <v>17</v>
      </c>
      <c r="W57" s="69">
        <f t="shared" si="28"/>
        <v>17</v>
      </c>
      <c r="X57" s="69">
        <f t="shared" si="28"/>
        <v>17</v>
      </c>
      <c r="Y57" s="69">
        <f t="shared" si="28"/>
        <v>17</v>
      </c>
      <c r="Z57" s="69">
        <f t="shared" si="28"/>
        <v>17</v>
      </c>
      <c r="AA57" s="69">
        <f t="shared" si="28"/>
        <v>17</v>
      </c>
      <c r="AB57" s="351">
        <f t="shared" si="28"/>
        <v>17</v>
      </c>
      <c r="AC57" s="69">
        <f>AC55</f>
        <v>17</v>
      </c>
    </row>
    <row r="58" spans="1:34" x14ac:dyDescent="0.2">
      <c r="A58" s="78" t="s">
        <v>142</v>
      </c>
      <c r="B58" s="79">
        <f>C58</f>
        <v>7</v>
      </c>
      <c r="C58" s="79">
        <f>D58</f>
        <v>7</v>
      </c>
      <c r="D58" s="79">
        <f t="shared" si="28"/>
        <v>7</v>
      </c>
      <c r="E58" s="79">
        <f t="shared" si="28"/>
        <v>7</v>
      </c>
      <c r="F58" s="79">
        <f t="shared" si="28"/>
        <v>7</v>
      </c>
      <c r="G58" s="79">
        <f t="shared" si="28"/>
        <v>7</v>
      </c>
      <c r="H58" s="79">
        <f t="shared" si="28"/>
        <v>8</v>
      </c>
      <c r="I58" s="79">
        <f t="shared" si="28"/>
        <v>10</v>
      </c>
      <c r="J58" s="79">
        <f t="shared" si="28"/>
        <v>11</v>
      </c>
      <c r="K58" s="79">
        <f t="shared" si="28"/>
        <v>11</v>
      </c>
      <c r="L58" s="79">
        <f t="shared" si="28"/>
        <v>13</v>
      </c>
      <c r="M58" s="79">
        <f t="shared" si="28"/>
        <v>15</v>
      </c>
      <c r="N58" s="79">
        <f t="shared" si="28"/>
        <v>15</v>
      </c>
      <c r="O58" s="79">
        <f t="shared" si="28"/>
        <v>15</v>
      </c>
      <c r="P58" s="79">
        <f t="shared" si="28"/>
        <v>15</v>
      </c>
      <c r="Q58" s="79">
        <f t="shared" si="28"/>
        <v>15</v>
      </c>
      <c r="R58" s="79">
        <f t="shared" si="28"/>
        <v>17</v>
      </c>
      <c r="S58" s="79">
        <f t="shared" si="28"/>
        <v>17</v>
      </c>
      <c r="T58" s="79">
        <f t="shared" si="28"/>
        <v>17</v>
      </c>
      <c r="U58" s="79">
        <f t="shared" si="28"/>
        <v>17</v>
      </c>
      <c r="V58" s="79">
        <f t="shared" si="28"/>
        <v>17</v>
      </c>
      <c r="W58" s="79">
        <f t="shared" si="28"/>
        <v>17</v>
      </c>
      <c r="X58" s="79">
        <f t="shared" si="28"/>
        <v>16</v>
      </c>
      <c r="Y58" s="79">
        <f t="shared" si="28"/>
        <v>16</v>
      </c>
      <c r="Z58" s="79">
        <f t="shared" si="28"/>
        <v>15</v>
      </c>
      <c r="AA58" s="79">
        <f t="shared" si="28"/>
        <v>15</v>
      </c>
      <c r="AB58" s="352">
        <f t="shared" si="28"/>
        <v>14</v>
      </c>
      <c r="AC58" s="79">
        <f>AC56</f>
        <v>7</v>
      </c>
    </row>
    <row r="59" spans="1:34" x14ac:dyDescent="0.2">
      <c r="A59" s="42" t="str">
        <f>A99</f>
        <v>&gt; L4 Pilots</v>
      </c>
      <c r="B59" s="43">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73" si="30">A100</f>
        <v>&gt; L3 Pilots</v>
      </c>
      <c r="B60" s="43">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43">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43">
        <f t="shared" ref="B62:AC62" si="33">ROUNDUP(IF(B$13="Deploy",MAX((B$89/100)*$B102,$B102),(B$89/100)*$B102),0)</f>
        <v>7</v>
      </c>
      <c r="C62" s="43">
        <f t="shared" si="33"/>
        <v>7</v>
      </c>
      <c r="D62" s="43">
        <f t="shared" si="33"/>
        <v>7</v>
      </c>
      <c r="E62" s="43">
        <f t="shared" si="33"/>
        <v>7</v>
      </c>
      <c r="F62" s="43">
        <f t="shared" si="33"/>
        <v>7</v>
      </c>
      <c r="G62" s="43">
        <f t="shared" si="33"/>
        <v>7</v>
      </c>
      <c r="H62" s="43">
        <f t="shared" si="33"/>
        <v>8</v>
      </c>
      <c r="I62" s="43">
        <f t="shared" si="33"/>
        <v>10</v>
      </c>
      <c r="J62" s="43">
        <f t="shared" si="33"/>
        <v>11</v>
      </c>
      <c r="K62" s="43">
        <f t="shared" si="33"/>
        <v>11</v>
      </c>
      <c r="L62" s="43">
        <f t="shared" si="33"/>
        <v>13</v>
      </c>
      <c r="M62" s="43">
        <f t="shared" si="33"/>
        <v>15</v>
      </c>
      <c r="N62" s="43">
        <f t="shared" si="33"/>
        <v>15</v>
      </c>
      <c r="O62" s="43">
        <f t="shared" si="33"/>
        <v>15</v>
      </c>
      <c r="P62" s="43">
        <f t="shared" si="33"/>
        <v>15</v>
      </c>
      <c r="Q62" s="43">
        <f t="shared" si="33"/>
        <v>15</v>
      </c>
      <c r="R62" s="43">
        <f t="shared" si="33"/>
        <v>17</v>
      </c>
      <c r="S62" s="43">
        <f t="shared" si="33"/>
        <v>17</v>
      </c>
      <c r="T62" s="43">
        <f t="shared" si="33"/>
        <v>17</v>
      </c>
      <c r="U62" s="43">
        <f t="shared" si="33"/>
        <v>17</v>
      </c>
      <c r="V62" s="43">
        <f t="shared" si="33"/>
        <v>17</v>
      </c>
      <c r="W62" s="43">
        <f t="shared" si="33"/>
        <v>17</v>
      </c>
      <c r="X62" s="43">
        <f t="shared" si="33"/>
        <v>16</v>
      </c>
      <c r="Y62" s="43">
        <f t="shared" si="33"/>
        <v>16</v>
      </c>
      <c r="Z62" s="43">
        <f t="shared" si="33"/>
        <v>15</v>
      </c>
      <c r="AA62" s="43">
        <f t="shared" si="33"/>
        <v>15</v>
      </c>
      <c r="AB62" s="350">
        <f t="shared" si="33"/>
        <v>14</v>
      </c>
      <c r="AC62" s="43">
        <f t="shared" si="33"/>
        <v>7</v>
      </c>
    </row>
    <row r="63" spans="1:34" s="21" customFormat="1" x14ac:dyDescent="0.2">
      <c r="A63" s="42" t="str">
        <f t="shared" si="30"/>
        <v>&gt; L4 WSO</v>
      </c>
      <c r="B63" s="43">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43">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43">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43">
        <f t="shared" ref="B66:AC66" si="37">ROUNDUP(IF(B$13="Deploy",MAX((B$89/100)*$B106,$B106),(B$89/100)*$B106),0)</f>
        <v>7</v>
      </c>
      <c r="C66" s="43">
        <f t="shared" si="37"/>
        <v>7</v>
      </c>
      <c r="D66" s="43">
        <f t="shared" si="37"/>
        <v>7</v>
      </c>
      <c r="E66" s="43">
        <f t="shared" si="37"/>
        <v>7</v>
      </c>
      <c r="F66" s="43">
        <f t="shared" si="37"/>
        <v>7</v>
      </c>
      <c r="G66" s="43">
        <f t="shared" si="37"/>
        <v>7</v>
      </c>
      <c r="H66" s="43">
        <f t="shared" si="37"/>
        <v>8</v>
      </c>
      <c r="I66" s="43">
        <f t="shared" si="37"/>
        <v>10</v>
      </c>
      <c r="J66" s="43">
        <f t="shared" si="37"/>
        <v>11</v>
      </c>
      <c r="K66" s="43">
        <f t="shared" si="37"/>
        <v>11</v>
      </c>
      <c r="L66" s="43">
        <f t="shared" si="37"/>
        <v>13</v>
      </c>
      <c r="M66" s="43">
        <f t="shared" si="37"/>
        <v>15</v>
      </c>
      <c r="N66" s="43">
        <f t="shared" si="37"/>
        <v>15</v>
      </c>
      <c r="O66" s="43">
        <f t="shared" si="37"/>
        <v>15</v>
      </c>
      <c r="P66" s="43">
        <f t="shared" si="37"/>
        <v>15</v>
      </c>
      <c r="Q66" s="43">
        <f t="shared" si="37"/>
        <v>15</v>
      </c>
      <c r="R66" s="43">
        <f t="shared" si="37"/>
        <v>17</v>
      </c>
      <c r="S66" s="43">
        <f t="shared" si="37"/>
        <v>17</v>
      </c>
      <c r="T66" s="43">
        <f t="shared" si="37"/>
        <v>17</v>
      </c>
      <c r="U66" s="43">
        <f t="shared" si="37"/>
        <v>17</v>
      </c>
      <c r="V66" s="43">
        <f t="shared" si="37"/>
        <v>17</v>
      </c>
      <c r="W66" s="43">
        <f t="shared" si="37"/>
        <v>17</v>
      </c>
      <c r="X66" s="43">
        <f t="shared" si="37"/>
        <v>16</v>
      </c>
      <c r="Y66" s="43">
        <f t="shared" si="37"/>
        <v>16</v>
      </c>
      <c r="Z66" s="43">
        <f t="shared" si="37"/>
        <v>15</v>
      </c>
      <c r="AA66" s="43">
        <f t="shared" si="37"/>
        <v>15</v>
      </c>
      <c r="AB66" s="350">
        <f t="shared" si="37"/>
        <v>14</v>
      </c>
      <c r="AC66" s="43">
        <f t="shared" si="37"/>
        <v>7</v>
      </c>
    </row>
    <row r="67" spans="1:47" x14ac:dyDescent="0.2">
      <c r="A67" s="42" t="str">
        <f t="shared" si="30"/>
        <v>NVG Qual - Pilot</v>
      </c>
      <c r="B67" s="43">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x14ac:dyDescent="0.2">
      <c r="A68" s="42" t="str">
        <f t="shared" si="30"/>
        <v>NVG Qual - WSO</v>
      </c>
      <c r="B68" s="43">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21" customFormat="1" x14ac:dyDescent="0.2">
      <c r="A69" s="42" t="str">
        <f t="shared" si="30"/>
        <v>JHMCS Qual - Pilot</v>
      </c>
      <c r="B69" s="43">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21" customFormat="1" x14ac:dyDescent="0.2">
      <c r="A70" s="42" t="str">
        <f t="shared" si="30"/>
        <v>JMPS SME</v>
      </c>
      <c r="B70" s="43">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21" customFormat="1" x14ac:dyDescent="0.2">
      <c r="A71" s="42" t="str">
        <f t="shared" si="30"/>
        <v xml:space="preserve">CVW STK LEAD </v>
      </c>
      <c r="B71" s="43">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21" customFormat="1" x14ac:dyDescent="0.2">
      <c r="A72" s="42" t="str">
        <f t="shared" si="30"/>
        <v>FAC(A) - Pilot</v>
      </c>
      <c r="B72" s="43">
        <f t="shared" ref="B72:AB72" si="43">ROUNDUP(IF(B$13="Deploy",MAX((B$86/100)*$B112,$B112),(B$86/100)*$B112),0)</f>
        <v>1</v>
      </c>
      <c r="C72" s="43">
        <f t="shared" si="43"/>
        <v>1</v>
      </c>
      <c r="D72" s="43">
        <f t="shared" si="43"/>
        <v>1</v>
      </c>
      <c r="E72" s="43">
        <f t="shared" si="43"/>
        <v>1</v>
      </c>
      <c r="F72" s="43">
        <f t="shared" si="43"/>
        <v>1</v>
      </c>
      <c r="G72" s="43">
        <f t="shared" si="43"/>
        <v>1</v>
      </c>
      <c r="H72" s="43">
        <f t="shared" si="43"/>
        <v>1</v>
      </c>
      <c r="I72" s="43">
        <f t="shared" si="43"/>
        <v>1</v>
      </c>
      <c r="J72" s="43">
        <f t="shared" si="43"/>
        <v>2</v>
      </c>
      <c r="K72" s="43">
        <f t="shared" si="43"/>
        <v>3</v>
      </c>
      <c r="L72" s="43">
        <f t="shared" si="43"/>
        <v>4</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21" customFormat="1" x14ac:dyDescent="0.2">
      <c r="A73" s="42" t="str">
        <f t="shared" si="30"/>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21"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8</v>
      </c>
      <c r="J74" s="43">
        <f t="shared" si="45"/>
        <v>8</v>
      </c>
      <c r="K74" s="43">
        <f t="shared" si="45"/>
        <v>9</v>
      </c>
      <c r="L74" s="43">
        <f t="shared" si="45"/>
        <v>10</v>
      </c>
      <c r="M74" s="43">
        <f t="shared" si="45"/>
        <v>12</v>
      </c>
      <c r="N74" s="43">
        <f t="shared" si="45"/>
        <v>12</v>
      </c>
      <c r="O74" s="43">
        <f t="shared" si="45"/>
        <v>12</v>
      </c>
      <c r="P74" s="43">
        <f t="shared" si="45"/>
        <v>12</v>
      </c>
      <c r="Q74" s="43">
        <f t="shared" si="45"/>
        <v>12</v>
      </c>
      <c r="R74" s="43">
        <f t="shared" si="45"/>
        <v>13</v>
      </c>
      <c r="S74" s="43">
        <f t="shared" si="45"/>
        <v>13</v>
      </c>
      <c r="T74" s="43">
        <f t="shared" si="45"/>
        <v>13</v>
      </c>
      <c r="U74" s="43">
        <f t="shared" si="45"/>
        <v>13</v>
      </c>
      <c r="V74" s="43">
        <f t="shared" si="45"/>
        <v>13</v>
      </c>
      <c r="W74" s="43">
        <f t="shared" si="45"/>
        <v>13</v>
      </c>
      <c r="X74" s="43">
        <f t="shared" si="45"/>
        <v>13</v>
      </c>
      <c r="Y74" s="43">
        <f t="shared" si="45"/>
        <v>12</v>
      </c>
      <c r="Z74" s="43">
        <f t="shared" si="45"/>
        <v>12</v>
      </c>
      <c r="AA74" s="43">
        <f t="shared" si="45"/>
        <v>11</v>
      </c>
      <c r="AB74" s="350">
        <f t="shared" si="45"/>
        <v>11</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A79" s="14"/>
      <c r="AC79" s="21"/>
    </row>
    <row r="80" spans="1:47" x14ac:dyDescent="0.2">
      <c r="A80" s="14"/>
      <c r="B80" s="30"/>
      <c r="C80" s="30"/>
      <c r="AC80" s="21"/>
      <c r="AD80" s="21"/>
      <c r="AE80" s="21"/>
      <c r="AH80" s="21"/>
      <c r="AI80" s="21"/>
      <c r="AJ80" s="21"/>
      <c r="AK80" s="21"/>
      <c r="AL80" s="21"/>
      <c r="AM80" s="21"/>
      <c r="AN80" s="21"/>
      <c r="AO80" s="21"/>
      <c r="AP80" s="21"/>
      <c r="AQ80" s="21"/>
      <c r="AR80" s="21"/>
    </row>
    <row r="81" spans="1:36" x14ac:dyDescent="0.2">
      <c r="B81" s="30"/>
      <c r="C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6">MIN(100,B86+$B$90)</f>
        <v>45.901136923127005</v>
      </c>
      <c r="C84" s="45">
        <f t="shared" si="46"/>
        <v>45.901136923127005</v>
      </c>
      <c r="D84" s="45">
        <f t="shared" si="46"/>
        <v>45.901136923127005</v>
      </c>
      <c r="E84" s="45">
        <f t="shared" si="46"/>
        <v>45.901136923127005</v>
      </c>
      <c r="F84" s="45">
        <f t="shared" si="46"/>
        <v>45.901136923127005</v>
      </c>
      <c r="G84" s="45">
        <f t="shared" si="46"/>
        <v>53.901136923127005</v>
      </c>
      <c r="H84" s="45">
        <f t="shared" si="46"/>
        <v>55.901136923127005</v>
      </c>
      <c r="I84" s="45">
        <f t="shared" si="46"/>
        <v>55.901136923127005</v>
      </c>
      <c r="J84" s="45">
        <f t="shared" si="46"/>
        <v>65.901136923127012</v>
      </c>
      <c r="K84" s="45">
        <f t="shared" si="46"/>
        <v>90.901136923127012</v>
      </c>
      <c r="L84" s="45">
        <f t="shared" si="46"/>
        <v>100</v>
      </c>
      <c r="M84" s="45">
        <f t="shared" si="46"/>
        <v>100</v>
      </c>
      <c r="N84" s="45">
        <f t="shared" si="46"/>
        <v>100</v>
      </c>
      <c r="O84" s="45">
        <f t="shared" si="46"/>
        <v>100</v>
      </c>
      <c r="P84" s="45">
        <f t="shared" si="46"/>
        <v>100</v>
      </c>
      <c r="Q84" s="45">
        <f t="shared" si="46"/>
        <v>100</v>
      </c>
      <c r="R84" s="45">
        <f t="shared" si="46"/>
        <v>100</v>
      </c>
      <c r="S84" s="45">
        <f t="shared" si="46"/>
        <v>100</v>
      </c>
      <c r="T84" s="45">
        <f t="shared" si="46"/>
        <v>100</v>
      </c>
      <c r="U84" s="45">
        <f t="shared" si="46"/>
        <v>100</v>
      </c>
      <c r="V84" s="45">
        <f t="shared" si="46"/>
        <v>100</v>
      </c>
      <c r="W84" s="45">
        <f t="shared" si="46"/>
        <v>100</v>
      </c>
      <c r="X84" s="45">
        <f t="shared" si="46"/>
        <v>100</v>
      </c>
      <c r="Y84" s="45">
        <f t="shared" si="46"/>
        <v>100</v>
      </c>
      <c r="Z84" s="45">
        <f t="shared" si="46"/>
        <v>100</v>
      </c>
      <c r="AA84" s="45">
        <f t="shared" si="46"/>
        <v>100</v>
      </c>
      <c r="AB84" s="46">
        <f t="shared" si="46"/>
        <v>100</v>
      </c>
      <c r="AC84" s="124">
        <f t="shared" si="46"/>
        <v>45.901136923127005</v>
      </c>
      <c r="AI84" s="97"/>
      <c r="AJ84" s="97"/>
    </row>
    <row r="85" spans="1:36"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1"/>
      <c r="AE87" s="21"/>
      <c r="AF87" s="22"/>
      <c r="AG87" s="12"/>
      <c r="AH87" s="23"/>
      <c r="AI87" s="97"/>
      <c r="AJ87" s="97"/>
    </row>
    <row r="88" spans="1:36"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17</v>
      </c>
      <c r="K95" s="74"/>
      <c r="AI95" s="97"/>
      <c r="AJ95" s="97"/>
    </row>
    <row r="96" spans="1:36" x14ac:dyDescent="0.2">
      <c r="A96" s="50" t="s">
        <v>140</v>
      </c>
      <c r="B96" s="51">
        <v>17</v>
      </c>
      <c r="K96" s="74"/>
      <c r="AI96" s="97"/>
      <c r="AJ96" s="97"/>
    </row>
    <row r="97" spans="1:36" x14ac:dyDescent="0.2">
      <c r="A97" s="75" t="s">
        <v>141</v>
      </c>
      <c r="B97" s="77">
        <v>17</v>
      </c>
      <c r="K97" s="74"/>
      <c r="AI97" s="97"/>
      <c r="AJ97" s="97"/>
    </row>
    <row r="98" spans="1:36" x14ac:dyDescent="0.2">
      <c r="A98" s="50" t="s">
        <v>142</v>
      </c>
      <c r="B98" s="51">
        <v>17</v>
      </c>
      <c r="K98" s="74"/>
      <c r="AI98" s="97"/>
      <c r="AJ98" s="97"/>
    </row>
    <row r="99" spans="1:36" x14ac:dyDescent="0.2">
      <c r="A99" s="50" t="s">
        <v>158</v>
      </c>
      <c r="B99" s="52">
        <v>5</v>
      </c>
      <c r="E99" s="74"/>
      <c r="K99" s="74"/>
      <c r="AI99" s="97"/>
      <c r="AJ99" s="97"/>
    </row>
    <row r="100" spans="1:36" x14ac:dyDescent="0.2">
      <c r="A100" s="50" t="s">
        <v>159</v>
      </c>
      <c r="B100" s="52">
        <v>7</v>
      </c>
      <c r="E100" s="74"/>
      <c r="K100" s="74"/>
      <c r="AI100" s="97"/>
      <c r="AJ100" s="97"/>
    </row>
    <row r="101" spans="1:36" x14ac:dyDescent="0.2">
      <c r="A101" s="50" t="s">
        <v>160</v>
      </c>
      <c r="B101" s="52">
        <v>12</v>
      </c>
      <c r="E101" s="74"/>
      <c r="K101" s="74"/>
      <c r="AI101" s="97"/>
      <c r="AJ101" s="97"/>
    </row>
    <row r="102" spans="1:36" x14ac:dyDescent="0.2">
      <c r="A102" s="50" t="s">
        <v>161</v>
      </c>
      <c r="B102" s="51">
        <v>17</v>
      </c>
      <c r="E102" s="74"/>
      <c r="J102" s="97"/>
      <c r="K102" s="131"/>
      <c r="L102" s="97"/>
      <c r="AI102" s="97"/>
      <c r="AJ102" s="97"/>
    </row>
    <row r="103" spans="1:36" x14ac:dyDescent="0.2">
      <c r="A103" s="50" t="s">
        <v>162</v>
      </c>
      <c r="B103" s="52">
        <v>5</v>
      </c>
      <c r="E103" s="73"/>
      <c r="F103" s="21"/>
      <c r="K103" s="74"/>
      <c r="AI103" s="97"/>
      <c r="AJ103" s="97"/>
    </row>
    <row r="104" spans="1:36" s="97" customFormat="1" x14ac:dyDescent="0.2">
      <c r="A104" s="50" t="s">
        <v>163</v>
      </c>
      <c r="B104" s="55">
        <v>7</v>
      </c>
      <c r="D104" s="15"/>
      <c r="E104" s="74"/>
      <c r="F104" s="15"/>
      <c r="G104" s="15"/>
      <c r="H104" s="15"/>
      <c r="K104" s="74"/>
      <c r="L104" s="15"/>
      <c r="AB104" s="109"/>
      <c r="AC104" s="15"/>
      <c r="AD104" s="4"/>
    </row>
    <row r="105" spans="1:36" x14ac:dyDescent="0.2">
      <c r="A105" s="50" t="s">
        <v>164</v>
      </c>
      <c r="B105" s="55">
        <v>12</v>
      </c>
      <c r="D105" s="97"/>
      <c r="E105" s="73"/>
      <c r="F105" s="21"/>
      <c r="G105" s="97"/>
      <c r="K105" s="74"/>
      <c r="AI105" s="97"/>
      <c r="AJ105" s="97"/>
    </row>
    <row r="106" spans="1:36" x14ac:dyDescent="0.2">
      <c r="A106" s="50" t="s">
        <v>165</v>
      </c>
      <c r="B106" s="128">
        <v>17</v>
      </c>
      <c r="D106" s="97"/>
      <c r="E106" s="74"/>
      <c r="K106" s="74"/>
      <c r="AC106" s="4"/>
    </row>
    <row r="107" spans="1:36" x14ac:dyDescent="0.2">
      <c r="A107" s="50" t="s">
        <v>166</v>
      </c>
      <c r="B107" s="55">
        <v>12</v>
      </c>
      <c r="E107" s="73"/>
      <c r="F107" s="21"/>
      <c r="AI107" s="97"/>
      <c r="AJ107" s="97"/>
    </row>
    <row r="108" spans="1:36" x14ac:dyDescent="0.2">
      <c r="A108" s="50" t="s">
        <v>167</v>
      </c>
      <c r="B108" s="55">
        <v>12</v>
      </c>
      <c r="E108" s="73"/>
      <c r="F108" s="21"/>
      <c r="AI108" s="97"/>
      <c r="AJ108" s="97"/>
    </row>
    <row r="109" spans="1:36" x14ac:dyDescent="0.2">
      <c r="A109" s="50" t="s">
        <v>168</v>
      </c>
      <c r="B109" s="55">
        <v>12</v>
      </c>
      <c r="E109" s="73"/>
      <c r="F109" s="21"/>
      <c r="AI109" s="97"/>
      <c r="AJ109" s="97"/>
    </row>
    <row r="110" spans="1:36" x14ac:dyDescent="0.2">
      <c r="A110" s="50" t="s">
        <v>169</v>
      </c>
      <c r="B110" s="55">
        <v>3</v>
      </c>
      <c r="E110" s="74"/>
      <c r="AI110" s="97"/>
      <c r="AJ110" s="97"/>
    </row>
    <row r="111" spans="1:36" x14ac:dyDescent="0.2">
      <c r="A111" s="50" t="s">
        <v>170</v>
      </c>
      <c r="B111" s="55">
        <v>3</v>
      </c>
      <c r="E111" s="74"/>
      <c r="AI111" s="97"/>
      <c r="AJ111" s="97"/>
    </row>
    <row r="112" spans="1:36" x14ac:dyDescent="0.2">
      <c r="A112" s="50" t="s">
        <v>171</v>
      </c>
      <c r="B112" s="55">
        <v>4</v>
      </c>
      <c r="E112" s="74"/>
      <c r="F112" s="97"/>
      <c r="AI112" s="97"/>
      <c r="AJ112" s="97"/>
    </row>
    <row r="113" spans="1:38" x14ac:dyDescent="0.2">
      <c r="A113" s="50" t="s">
        <v>172</v>
      </c>
      <c r="B113" s="76">
        <v>4</v>
      </c>
      <c r="E113" s="74"/>
      <c r="F113" s="97"/>
      <c r="AI113" s="97"/>
      <c r="AJ113" s="97"/>
    </row>
    <row r="114" spans="1:38" ht="12.75" thickBot="1" x14ac:dyDescent="0.25">
      <c r="A114" s="53" t="s">
        <v>173</v>
      </c>
      <c r="B114" s="54">
        <v>13</v>
      </c>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11</v>
      </c>
      <c r="C122" s="160">
        <v>11</v>
      </c>
      <c r="D122" s="162">
        <v>10</v>
      </c>
      <c r="E122" s="162">
        <v>7</v>
      </c>
      <c r="F122" s="164">
        <v>6</v>
      </c>
      <c r="G122" s="209">
        <v>0</v>
      </c>
    </row>
    <row r="123" spans="1:38" x14ac:dyDescent="0.2">
      <c r="A123" s="157" t="s">
        <v>185</v>
      </c>
      <c r="B123" s="160">
        <v>11</v>
      </c>
      <c r="C123" s="160">
        <v>8</v>
      </c>
      <c r="D123" s="162">
        <v>7</v>
      </c>
      <c r="E123" s="162">
        <v>6</v>
      </c>
      <c r="F123" s="164">
        <v>5</v>
      </c>
      <c r="G123" s="209">
        <v>0</v>
      </c>
    </row>
    <row r="124" spans="1:38" x14ac:dyDescent="0.2">
      <c r="A124" s="208" t="s">
        <v>122</v>
      </c>
      <c r="B124" s="363"/>
      <c r="C124" s="364"/>
      <c r="D124" s="364"/>
      <c r="E124" s="364"/>
      <c r="F124" s="364"/>
      <c r="G124" s="171"/>
    </row>
    <row r="125" spans="1:38" ht="12.75" x14ac:dyDescent="0.2">
      <c r="A125" s="240" t="s">
        <v>123</v>
      </c>
      <c r="B125" s="213">
        <v>11</v>
      </c>
      <c r="C125" s="160">
        <f>ROUND(R39,0)</f>
        <v>6</v>
      </c>
      <c r="D125" s="162">
        <f t="shared" ref="D125:D134" si="50">C125-1</f>
        <v>5</v>
      </c>
      <c r="E125" s="162">
        <f>ROUND(H39,0)</f>
        <v>5</v>
      </c>
      <c r="F125" s="164">
        <v>4</v>
      </c>
      <c r="G125" s="165">
        <v>0</v>
      </c>
    </row>
    <row r="126" spans="1:38" ht="12.75" x14ac:dyDescent="0.2">
      <c r="A126" s="240" t="s">
        <v>124</v>
      </c>
      <c r="B126" s="160">
        <v>11</v>
      </c>
      <c r="C126" s="160">
        <f t="shared" ref="C126:C132" si="51">ROUND(R40,0)</f>
        <v>1</v>
      </c>
      <c r="D126" s="162">
        <v>1</v>
      </c>
      <c r="E126" s="162">
        <f>ROUND(H40,0)</f>
        <v>1</v>
      </c>
      <c r="F126" s="164">
        <v>0</v>
      </c>
      <c r="G126" s="209">
        <v>0</v>
      </c>
    </row>
    <row r="127" spans="1:38" ht="12.75" x14ac:dyDescent="0.2">
      <c r="A127" s="240" t="s">
        <v>125</v>
      </c>
      <c r="B127" s="160">
        <v>11</v>
      </c>
      <c r="C127" s="160">
        <f t="shared" si="51"/>
        <v>3</v>
      </c>
      <c r="D127" s="162">
        <f t="shared" si="50"/>
        <v>2</v>
      </c>
      <c r="E127" s="162"/>
      <c r="F127" s="164">
        <v>2</v>
      </c>
      <c r="G127" s="209">
        <v>0</v>
      </c>
    </row>
    <row r="128" spans="1:38" ht="12.75" x14ac:dyDescent="0.2">
      <c r="A128" s="240" t="s">
        <v>126</v>
      </c>
      <c r="B128" s="160">
        <v>11</v>
      </c>
      <c r="C128" s="160">
        <f t="shared" si="51"/>
        <v>6</v>
      </c>
      <c r="D128" s="162">
        <f t="shared" si="50"/>
        <v>5</v>
      </c>
      <c r="E128" s="162">
        <f>ROUND(H42,0)</f>
        <v>5</v>
      </c>
      <c r="F128" s="164">
        <v>4</v>
      </c>
      <c r="G128" s="209">
        <v>0</v>
      </c>
    </row>
    <row r="129" spans="1:7" ht="12.75" x14ac:dyDescent="0.2">
      <c r="A129" s="240" t="s">
        <v>127</v>
      </c>
      <c r="B129" s="160">
        <v>11</v>
      </c>
      <c r="C129" s="160">
        <f t="shared" si="51"/>
        <v>6</v>
      </c>
      <c r="D129" s="162">
        <f t="shared" si="50"/>
        <v>5</v>
      </c>
      <c r="E129" s="162">
        <f>ROUND(H43,0)</f>
        <v>5</v>
      </c>
      <c r="F129" s="164">
        <v>4</v>
      </c>
      <c r="G129" s="209">
        <v>0</v>
      </c>
    </row>
    <row r="130" spans="1:7" ht="12.75" x14ac:dyDescent="0.2">
      <c r="A130" s="240" t="s">
        <v>128</v>
      </c>
      <c r="B130" s="160">
        <v>11</v>
      </c>
      <c r="C130" s="160">
        <f t="shared" si="51"/>
        <v>6</v>
      </c>
      <c r="D130" s="162">
        <f t="shared" si="50"/>
        <v>5</v>
      </c>
      <c r="E130" s="162">
        <f>ROUND(H44,0)</f>
        <v>5</v>
      </c>
      <c r="F130" s="164">
        <v>4</v>
      </c>
      <c r="G130" s="209">
        <v>0</v>
      </c>
    </row>
    <row r="131" spans="1:7" ht="12.75" x14ac:dyDescent="0.2">
      <c r="A131" s="240" t="s">
        <v>129</v>
      </c>
      <c r="B131" s="160">
        <v>11</v>
      </c>
      <c r="C131" s="160">
        <f>ROUNDDOWN(R45,0)</f>
        <v>8</v>
      </c>
      <c r="D131" s="162">
        <f t="shared" si="50"/>
        <v>7</v>
      </c>
      <c r="E131" s="162">
        <f>ROUND(H45,0)</f>
        <v>2</v>
      </c>
      <c r="F131" s="164">
        <v>2</v>
      </c>
      <c r="G131" s="209">
        <v>0</v>
      </c>
    </row>
    <row r="132" spans="1:7" ht="12.75" x14ac:dyDescent="0.2">
      <c r="A132" s="240" t="s">
        <v>130</v>
      </c>
      <c r="B132" s="160">
        <v>11</v>
      </c>
      <c r="C132" s="160">
        <f t="shared" si="51"/>
        <v>7</v>
      </c>
      <c r="D132" s="162">
        <f t="shared" si="50"/>
        <v>6</v>
      </c>
      <c r="E132" s="162">
        <v>5</v>
      </c>
      <c r="F132" s="164">
        <v>3</v>
      </c>
      <c r="G132" s="209">
        <v>0</v>
      </c>
    </row>
    <row r="133" spans="1:7" ht="12.75" x14ac:dyDescent="0.2">
      <c r="A133" s="240" t="s">
        <v>131</v>
      </c>
      <c r="B133" s="160">
        <v>11</v>
      </c>
      <c r="C133" s="160">
        <f>ROUNDDOWN(R47,0)</f>
        <v>8</v>
      </c>
      <c r="D133" s="162">
        <f t="shared" si="50"/>
        <v>7</v>
      </c>
      <c r="E133" s="162">
        <f>ROUND(H47,0)</f>
        <v>2</v>
      </c>
      <c r="F133" s="164">
        <v>2</v>
      </c>
      <c r="G133" s="209">
        <v>0</v>
      </c>
    </row>
    <row r="134" spans="1:7" ht="12.75" x14ac:dyDescent="0.2">
      <c r="A134" s="240" t="s">
        <v>132</v>
      </c>
      <c r="B134" s="160">
        <v>11</v>
      </c>
      <c r="C134" s="160">
        <f>ROUNDDOWN(R48,0)</f>
        <v>8</v>
      </c>
      <c r="D134" s="162">
        <f t="shared" si="50"/>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6</v>
      </c>
      <c r="C138" s="167">
        <v>6</v>
      </c>
      <c r="D138" s="169">
        <v>5</v>
      </c>
      <c r="E138" s="169">
        <v>4</v>
      </c>
      <c r="F138" s="170">
        <v>3</v>
      </c>
      <c r="G138" s="214">
        <v>0</v>
      </c>
    </row>
    <row r="139" spans="1:7" ht="12.75" thickBot="1" x14ac:dyDescent="0.25">
      <c r="A139" s="158" t="s">
        <v>187</v>
      </c>
      <c r="B139" s="161">
        <v>6</v>
      </c>
      <c r="C139" s="161">
        <v>4</v>
      </c>
      <c r="D139" s="163">
        <v>3</v>
      </c>
      <c r="E139" s="163">
        <v>3</v>
      </c>
      <c r="F139" s="166">
        <v>2</v>
      </c>
      <c r="G139" s="215">
        <v>0</v>
      </c>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2">A40</f>
        <v>Ready HARM Support Mission System (D)</v>
      </c>
      <c r="B145" s="342">
        <f>HLOOKUP($B$142,'FA-18EF Mission System Summary'!$B$1:$F$12,4,FALSE)</f>
        <v>0.15186615186615185</v>
      </c>
    </row>
    <row r="146" spans="1:2" x14ac:dyDescent="0.2">
      <c r="A146" s="341" t="str">
        <f t="shared" si="52"/>
        <v>Ready Missile Launch Mission System (E)</v>
      </c>
      <c r="B146" s="342">
        <f>HLOOKUP($B$142,'FA-18EF Mission System Summary'!$B$1:$F$12,5,FALSE)</f>
        <v>0.39761189761189752</v>
      </c>
    </row>
    <row r="147" spans="1:2" x14ac:dyDescent="0.2">
      <c r="A147" s="341" t="str">
        <f t="shared" si="52"/>
        <v>Ready Survivablity Mission System (F)</v>
      </c>
      <c r="B147" s="342">
        <f>HLOOKUP($B$142,'FA-18EF Mission System Summary'!$B$1:$F$12,6,FALSE)</f>
        <v>0.68590018590018564</v>
      </c>
    </row>
    <row r="148" spans="1:2" x14ac:dyDescent="0.2">
      <c r="A148" s="341" t="str">
        <f t="shared" si="52"/>
        <v>Ready Leathality Mission System (G)</v>
      </c>
      <c r="B148" s="342">
        <f>HLOOKUP($B$142,'FA-18EF Mission System Summary'!$B$1:$F$12,7,FALSE)</f>
        <v>0.6974831974831972</v>
      </c>
    </row>
    <row r="149" spans="1:2" x14ac:dyDescent="0.2">
      <c r="A149" s="341" t="str">
        <f t="shared" si="52"/>
        <v>Ready Combat Communications Mission System (H)</v>
      </c>
      <c r="B149" s="342">
        <f>HLOOKUP($B$142,'FA-18EF Mission System Summary'!$B$1:$F$12,8,FALSE)</f>
        <v>0.6974831974831972</v>
      </c>
    </row>
    <row r="150" spans="1:2" x14ac:dyDescent="0.2">
      <c r="A150" s="341" t="str">
        <f t="shared" si="52"/>
        <v>Ready Air to Air Refueling Mission Systems (I)</v>
      </c>
      <c r="B150" s="342">
        <f>HLOOKUP($B$142,'FA-18EF Mission System Summary'!$B$1:$F$12,9,FALSE)</f>
        <v>0.34949234949234942</v>
      </c>
    </row>
    <row r="151" spans="1:2" x14ac:dyDescent="0.2">
      <c r="A151" s="341" t="str">
        <f t="shared" si="52"/>
        <v>Ready Tactical Navigation Mission Systems (J)</v>
      </c>
      <c r="B151" s="342">
        <f>HLOOKUP($B$142,'FA-18EF Mission System Summary'!$B$1:$F$12,10,FALSE)</f>
        <v>0.74445874445874416</v>
      </c>
    </row>
    <row r="152" spans="1:2" x14ac:dyDescent="0.2">
      <c r="A152" s="341" t="str">
        <f t="shared" si="52"/>
        <v>Ready Shipboard Mission Systems (K)</v>
      </c>
      <c r="B152" s="342">
        <f>HLOOKUP($B$142,'FA-18EF Mission System Summary'!$B$1:$F$12,11,FALSE)</f>
        <v>0.32600457600457594</v>
      </c>
    </row>
    <row r="153" spans="1:2" x14ac:dyDescent="0.2">
      <c r="A153" s="341" t="str">
        <f t="shared" si="52"/>
        <v>Ready IMC Flight Mission Systems (L)</v>
      </c>
      <c r="B153" s="342">
        <f>HLOOKUP($B$142,'FA-18EF Mission System Summary'!$B$1:$F$12,12,FALSE)</f>
        <v>1</v>
      </c>
    </row>
  </sheetData>
  <mergeCells count="15">
    <mergeCell ref="B16:E16"/>
    <mergeCell ref="A1:G1"/>
    <mergeCell ref="M1:P1"/>
    <mergeCell ref="A83:AC83"/>
    <mergeCell ref="R16:W16"/>
    <mergeCell ref="X16:AB16"/>
    <mergeCell ref="F16:J16"/>
    <mergeCell ref="K16:M16"/>
    <mergeCell ref="N16:Q16"/>
    <mergeCell ref="B120:C120"/>
    <mergeCell ref="D120:E120"/>
    <mergeCell ref="F120:G120"/>
    <mergeCell ref="A93:B93"/>
    <mergeCell ref="A94:B94"/>
    <mergeCell ref="A116:B116"/>
  </mergeCells>
  <conditionalFormatting sqref="C135">
    <cfRule type="cellIs" dxfId="212" priority="64" operator="equal">
      <formula>B135</formula>
    </cfRule>
  </conditionalFormatting>
  <conditionalFormatting sqref="D135:E135">
    <cfRule type="cellIs" dxfId="211" priority="67" operator="equal">
      <formula>C135</formula>
    </cfRule>
  </conditionalFormatting>
  <conditionalFormatting sqref="F135">
    <cfRule type="cellIs" dxfId="210" priority="65" operator="equal">
      <formula>E135</formula>
    </cfRule>
    <cfRule type="cellIs" dxfId="209" priority="66" operator="equal">
      <formula>G135</formula>
    </cfRule>
  </conditionalFormatting>
  <conditionalFormatting sqref="D122:E122">
    <cfRule type="cellIs" dxfId="208" priority="59" operator="equal">
      <formula>C122</formula>
    </cfRule>
  </conditionalFormatting>
  <conditionalFormatting sqref="C122">
    <cfRule type="cellIs" dxfId="207" priority="47" operator="equal">
      <formula>B122</formula>
    </cfRule>
  </conditionalFormatting>
  <conditionalFormatting sqref="F122">
    <cfRule type="cellIs" dxfId="206" priority="58" operator="equal">
      <formula>E122</formula>
    </cfRule>
  </conditionalFormatting>
  <conditionalFormatting sqref="E122">
    <cfRule type="cellIs" dxfId="205" priority="57" operator="equal">
      <formula>D122</formula>
    </cfRule>
  </conditionalFormatting>
  <conditionalFormatting sqref="F122">
    <cfRule type="cellIs" dxfId="204" priority="54" operator="equal">
      <formula>E122</formula>
    </cfRule>
  </conditionalFormatting>
  <conditionalFormatting sqref="C122">
    <cfRule type="cellIs" dxfId="203" priority="55" operator="equal">
      <formula>B122</formula>
    </cfRule>
  </conditionalFormatting>
  <conditionalFormatting sqref="D122">
    <cfRule type="cellIs" dxfId="202" priority="52" operator="equal">
      <formula>C122</formula>
    </cfRule>
  </conditionalFormatting>
  <conditionalFormatting sqref="E122">
    <cfRule type="cellIs" dxfId="201" priority="53" operator="equal">
      <formula>D122</formula>
    </cfRule>
  </conditionalFormatting>
  <conditionalFormatting sqref="C122">
    <cfRule type="cellIs" dxfId="200" priority="51" operator="equal">
      <formula>B122</formula>
    </cfRule>
  </conditionalFormatting>
  <conditionalFormatting sqref="D122">
    <cfRule type="cellIs" dxfId="199" priority="50" operator="equal">
      <formula>C122</formula>
    </cfRule>
  </conditionalFormatting>
  <conditionalFormatting sqref="E122">
    <cfRule type="cellIs" dxfId="198" priority="49" operator="equal">
      <formula>D122</formula>
    </cfRule>
  </conditionalFormatting>
  <conditionalFormatting sqref="C136:C137">
    <cfRule type="cellIs" dxfId="197" priority="43" operator="equal">
      <formula>B136</formula>
    </cfRule>
  </conditionalFormatting>
  <conditionalFormatting sqref="D136:E137">
    <cfRule type="cellIs" dxfId="196" priority="46" operator="equal">
      <formula>C136</formula>
    </cfRule>
  </conditionalFormatting>
  <conditionalFormatting sqref="F136:F137">
    <cfRule type="cellIs" dxfId="195" priority="44" operator="equal">
      <formula>E136</formula>
    </cfRule>
    <cfRule type="cellIs" dxfId="194" priority="45" operator="equal">
      <formula>G136</formula>
    </cfRule>
  </conditionalFormatting>
  <conditionalFormatting sqref="C138:C139">
    <cfRule type="cellIs" dxfId="193" priority="37" operator="equal">
      <formula>B138</formula>
    </cfRule>
  </conditionalFormatting>
  <conditionalFormatting sqref="D138:E139">
    <cfRule type="cellIs" dxfId="192" priority="38" operator="equal">
      <formula>C138</formula>
    </cfRule>
  </conditionalFormatting>
  <conditionalFormatting sqref="F138:F139">
    <cfRule type="cellIs" dxfId="191" priority="39" operator="equal">
      <formula>G138</formula>
    </cfRule>
    <cfRule type="cellIs" dxfId="190" priority="40" operator="equal">
      <formula>E138</formula>
    </cfRule>
  </conditionalFormatting>
  <conditionalFormatting sqref="C124">
    <cfRule type="cellIs" dxfId="189" priority="15" operator="equal">
      <formula>B124</formula>
    </cfRule>
  </conditionalFormatting>
  <conditionalFormatting sqref="D124:E124">
    <cfRule type="cellIs" dxfId="188" priority="18" operator="equal">
      <formula>C124</formula>
    </cfRule>
  </conditionalFormatting>
  <conditionalFormatting sqref="F124">
    <cfRule type="cellIs" dxfId="187" priority="16" operator="equal">
      <formula>E124</formula>
    </cfRule>
    <cfRule type="cellIs" dxfId="186" priority="17" operator="equal">
      <formula>G124</formula>
    </cfRule>
  </conditionalFormatting>
  <conditionalFormatting sqref="C123">
    <cfRule type="cellIs" dxfId="185" priority="8" operator="equal">
      <formula>B123</formula>
    </cfRule>
  </conditionalFormatting>
  <conditionalFormatting sqref="D123:E123">
    <cfRule type="cellIs" dxfId="184" priority="14" operator="equal">
      <formula>C123</formula>
    </cfRule>
  </conditionalFormatting>
  <conditionalFormatting sqref="F123">
    <cfRule type="cellIs" dxfId="183" priority="9" operator="equal">
      <formula>E123</formula>
    </cfRule>
    <cfRule type="cellIs" dxfId="182" priority="12" operator="equal">
      <formula>G123</formula>
    </cfRule>
  </conditionalFormatting>
  <conditionalFormatting sqref="E123">
    <cfRule type="cellIs" dxfId="181" priority="13" operator="equal">
      <formula>D123</formula>
    </cfRule>
  </conditionalFormatting>
  <conditionalFormatting sqref="E123">
    <cfRule type="cellIs" dxfId="180" priority="11" operator="equal">
      <formula>D123</formula>
    </cfRule>
  </conditionalFormatting>
  <conditionalFormatting sqref="E123">
    <cfRule type="cellIs" dxfId="179" priority="10" operator="equal">
      <formula>D123</formula>
    </cfRule>
  </conditionalFormatting>
  <conditionalFormatting sqref="D126:D134">
    <cfRule type="cellIs" dxfId="178" priority="5" operator="equal">
      <formula>C126</formula>
    </cfRule>
  </conditionalFormatting>
  <conditionalFormatting sqref="F126:F134">
    <cfRule type="cellIs" dxfId="177" priority="4" operator="equal">
      <formula>G126</formula>
    </cfRule>
    <cfRule type="cellIs" dxfId="176" priority="6" operator="equal">
      <formula>E126</formula>
    </cfRule>
  </conditionalFormatting>
  <conditionalFormatting sqref="C125:C134">
    <cfRule type="cellIs" dxfId="175" priority="3" operator="equal">
      <formula>B125</formula>
    </cfRule>
  </conditionalFormatting>
  <conditionalFormatting sqref="D125:E125 E126:E134">
    <cfRule type="cellIs" dxfId="174" priority="1" operator="equal">
      <formula>C125</formula>
    </cfRule>
  </conditionalFormatting>
  <conditionalFormatting sqref="F125">
    <cfRule type="cellIs" dxfId="173" priority="2" operator="equal">
      <formula>G125</formula>
    </cfRule>
    <cfRule type="cellIs" dxfId="172" priority="7" operator="equal">
      <formula>E125</formula>
    </cfRule>
  </conditionalFormatting>
  <hyperlinks>
    <hyperlink ref="H1" location="Inventory!A1" display="Inventory" xr:uid="{00000000-0004-0000-0500-000000000000}"/>
    <hyperlink ref="I121" location="Inventory!A1" display="Inventory" xr:uid="{00000000-0004-0000-0500-000001000000}"/>
    <hyperlink ref="I120" location="'VFA (11F) (6 ARS)'!A1" display="Top" xr:uid="{00000000-0004-0000-0500-000002000000}"/>
    <hyperlink ref="H2" location="'VFA (11F) (6 ARS)'!A140" display="AMFOM" xr:uid="{00000000-0004-0000-0500-000003000000}"/>
  </hyperlinks>
  <printOptions horizontalCentered="1" verticalCentered="1"/>
  <pageMargins left="0.5" right="0.25" top="0.5" bottom="0.5" header="0.5" footer="0.5"/>
  <pageSetup scale="3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U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50" t="s">
        <v>195</v>
      </c>
      <c r="B1" s="450"/>
      <c r="C1" s="450"/>
      <c r="D1" s="450"/>
      <c r="E1" s="450"/>
      <c r="F1" s="450"/>
      <c r="G1" s="450"/>
      <c r="H1" s="145" t="s">
        <v>40</v>
      </c>
      <c r="K1" s="95"/>
      <c r="L1" s="146" t="s">
        <v>41</v>
      </c>
      <c r="M1" s="441">
        <v>44835</v>
      </c>
      <c r="N1" s="442"/>
      <c r="O1" s="443"/>
      <c r="P1" s="443"/>
      <c r="AC1" s="324" t="s">
        <v>42</v>
      </c>
      <c r="AD1" s="325">
        <v>10.050000000000001</v>
      </c>
    </row>
    <row r="2" spans="1:34" s="4" customFormat="1" ht="12.75" x14ac:dyDescent="0.2">
      <c r="A2" s="2" t="s">
        <v>43</v>
      </c>
      <c r="B2" s="80">
        <v>11</v>
      </c>
      <c r="C2" s="81"/>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82">
        <f>B4/B2</f>
        <v>1.5454545454545454</v>
      </c>
      <c r="C3" s="81"/>
      <c r="D3" s="3"/>
      <c r="I3" s="3"/>
      <c r="J3" s="3"/>
      <c r="K3" s="3"/>
      <c r="N3" s="5"/>
      <c r="O3" s="5"/>
      <c r="P3" s="5"/>
      <c r="Q3" s="5"/>
      <c r="R3" s="3"/>
      <c r="S3" s="3"/>
      <c r="T3" s="3"/>
      <c r="U3" s="3"/>
      <c r="V3" s="3"/>
      <c r="W3" s="3"/>
      <c r="X3" s="3"/>
      <c r="Y3" s="3"/>
      <c r="Z3" s="3"/>
      <c r="AA3" s="3"/>
      <c r="AB3" s="3"/>
      <c r="AC3" s="100"/>
    </row>
    <row r="4" spans="1:34" s="4" customFormat="1" ht="11.25" x14ac:dyDescent="0.2">
      <c r="A4" s="2" t="s">
        <v>45</v>
      </c>
      <c r="B4" s="80">
        <v>17</v>
      </c>
      <c r="C4" s="81"/>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81">
        <v>1.5</v>
      </c>
      <c r="C5" s="83"/>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81">
        <v>27.5</v>
      </c>
      <c r="C6" s="83"/>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81">
        <f>B6*B4</f>
        <v>467.5</v>
      </c>
      <c r="C7" s="84"/>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80">
        <f>B7/B5</f>
        <v>311.66666666666669</v>
      </c>
      <c r="C8" s="81"/>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81">
        <f>B4*C9</f>
        <v>17</v>
      </c>
      <c r="C9" s="81">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81">
        <f>B4*C10</f>
        <v>105.4</v>
      </c>
      <c r="C10" s="81">
        <v>6.2</v>
      </c>
      <c r="D10" s="4" t="s">
        <v>51</v>
      </c>
      <c r="E10" s="3"/>
      <c r="F10" s="3"/>
      <c r="G10" s="94" t="s">
        <v>54</v>
      </c>
      <c r="H10" s="93">
        <v>0.26400000000000001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34</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11" t="s">
        <v>65</v>
      </c>
      <c r="C14" s="11" t="s">
        <v>66</v>
      </c>
      <c r="D14" s="11" t="s">
        <v>67</v>
      </c>
      <c r="E14" s="11" t="s">
        <v>68</v>
      </c>
      <c r="F14" s="11" t="s">
        <v>69</v>
      </c>
      <c r="G14" s="11" t="s">
        <v>70</v>
      </c>
      <c r="H14" s="11" t="s">
        <v>71</v>
      </c>
      <c r="I14" s="11" t="s">
        <v>72</v>
      </c>
      <c r="J14" s="11" t="s">
        <v>73</v>
      </c>
      <c r="K14" s="11" t="s">
        <v>74</v>
      </c>
      <c r="L14" s="11" t="s">
        <v>75</v>
      </c>
      <c r="M14" s="11" t="s">
        <v>76</v>
      </c>
      <c r="N14" s="11" t="s">
        <v>77</v>
      </c>
      <c r="O14" s="11" t="s">
        <v>78</v>
      </c>
      <c r="P14" s="11" t="s">
        <v>79</v>
      </c>
      <c r="Q14" s="11" t="s">
        <v>80</v>
      </c>
      <c r="R14" s="11" t="s">
        <v>81</v>
      </c>
      <c r="S14" s="11" t="s">
        <v>82</v>
      </c>
      <c r="T14" s="11" t="s">
        <v>83</v>
      </c>
      <c r="U14" s="11" t="s">
        <v>84</v>
      </c>
      <c r="V14" s="11" t="s">
        <v>85</v>
      </c>
      <c r="W14" s="11" t="s">
        <v>86</v>
      </c>
      <c r="X14" s="11" t="s">
        <v>87</v>
      </c>
      <c r="Y14" s="11" t="s">
        <v>88</v>
      </c>
      <c r="Z14" s="11" t="s">
        <v>89</v>
      </c>
      <c r="AA14" s="11" t="s">
        <v>90</v>
      </c>
      <c r="AB14" s="419" t="s">
        <v>91</v>
      </c>
      <c r="AC14" s="11" t="s">
        <v>92</v>
      </c>
      <c r="AD14" s="12"/>
      <c r="AE14" s="12"/>
      <c r="AF14" s="12"/>
      <c r="AG14" s="12"/>
      <c r="AH14" s="12"/>
    </row>
    <row r="15" spans="1:34" s="13" customFormat="1" x14ac:dyDescent="0.2">
      <c r="A15" s="8" t="s">
        <v>93</v>
      </c>
      <c r="B15" s="11">
        <v>1</v>
      </c>
      <c r="C15" s="11">
        <v>2</v>
      </c>
      <c r="D15" s="11">
        <v>3</v>
      </c>
      <c r="E15" s="11">
        <v>4</v>
      </c>
      <c r="F15" s="11">
        <v>5</v>
      </c>
      <c r="G15" s="11">
        <v>6</v>
      </c>
      <c r="H15" s="11">
        <v>7</v>
      </c>
      <c r="I15" s="11">
        <v>8</v>
      </c>
      <c r="J15" s="11">
        <v>9</v>
      </c>
      <c r="K15" s="11">
        <v>10</v>
      </c>
      <c r="L15" s="11">
        <v>11</v>
      </c>
      <c r="M15" s="11">
        <v>12</v>
      </c>
      <c r="N15" s="11">
        <v>13</v>
      </c>
      <c r="O15" s="11">
        <v>14</v>
      </c>
      <c r="P15" s="11">
        <v>15</v>
      </c>
      <c r="Q15" s="11">
        <v>16</v>
      </c>
      <c r="R15" s="11">
        <v>17</v>
      </c>
      <c r="S15" s="11">
        <v>18</v>
      </c>
      <c r="T15" s="11">
        <v>19</v>
      </c>
      <c r="U15" s="11">
        <v>20</v>
      </c>
      <c r="V15" s="11">
        <v>21</v>
      </c>
      <c r="W15" s="11">
        <v>22</v>
      </c>
      <c r="X15" s="11">
        <v>23</v>
      </c>
      <c r="Y15" s="11">
        <v>24</v>
      </c>
      <c r="Z15" s="11">
        <v>25</v>
      </c>
      <c r="AA15" s="11">
        <v>26</v>
      </c>
      <c r="AB15" s="419">
        <v>27</v>
      </c>
      <c r="AC15" s="11">
        <v>28</v>
      </c>
      <c r="AD15" s="12"/>
      <c r="AE15" s="12"/>
      <c r="AF15" s="12"/>
      <c r="AG15" s="12"/>
      <c r="AH15" s="12"/>
    </row>
    <row r="16" spans="1:34" x14ac:dyDescent="0.2">
      <c r="A16" s="8" t="s">
        <v>94</v>
      </c>
      <c r="B16" s="447" t="s">
        <v>95</v>
      </c>
      <c r="C16" s="448"/>
      <c r="D16" s="448"/>
      <c r="E16" s="449"/>
      <c r="F16" s="447" t="s">
        <v>96</v>
      </c>
      <c r="G16" s="448"/>
      <c r="H16" s="448"/>
      <c r="I16" s="448"/>
      <c r="J16" s="449"/>
      <c r="K16" s="447" t="s">
        <v>97</v>
      </c>
      <c r="L16" s="448"/>
      <c r="M16" s="449"/>
      <c r="N16" s="447" t="s">
        <v>61</v>
      </c>
      <c r="O16" s="448"/>
      <c r="P16" s="448"/>
      <c r="Q16" s="449"/>
      <c r="R16" s="447" t="s">
        <v>98</v>
      </c>
      <c r="S16" s="448"/>
      <c r="T16" s="448"/>
      <c r="U16" s="448"/>
      <c r="V16" s="448"/>
      <c r="W16" s="449"/>
      <c r="X16" s="447" t="s">
        <v>99</v>
      </c>
      <c r="Y16" s="448"/>
      <c r="Z16" s="448"/>
      <c r="AA16" s="448"/>
      <c r="AB16" s="448"/>
      <c r="AC16" s="11" t="s">
        <v>100</v>
      </c>
      <c r="AD16" s="14"/>
      <c r="AE16" s="14"/>
      <c r="AF16" s="14"/>
      <c r="AG16" s="14"/>
      <c r="AH16" s="14"/>
    </row>
    <row r="17" spans="1:34" ht="12.75" x14ac:dyDescent="0.2">
      <c r="A17" s="96" t="s">
        <v>101</v>
      </c>
      <c r="B17" s="16"/>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9"/>
      <c r="AD17" s="14"/>
      <c r="AE17" s="14"/>
      <c r="AF17" s="14"/>
      <c r="AG17" s="14"/>
      <c r="AH17" s="14"/>
    </row>
    <row r="18" spans="1:34" s="97" customFormat="1" x14ac:dyDescent="0.2">
      <c r="A18" s="133"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19"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x14ac:dyDescent="0.2">
      <c r="A20" s="177" t="s">
        <v>104</v>
      </c>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5"/>
      <c r="AD20" s="21"/>
      <c r="AE20" s="21"/>
      <c r="AF20" s="22"/>
      <c r="AG20" s="12"/>
      <c r="AH20" s="23"/>
    </row>
    <row r="21" spans="1:34" s="27" customFormat="1" x14ac:dyDescent="0.2">
      <c r="A21" s="24" t="s">
        <v>105</v>
      </c>
      <c r="B21" s="179">
        <f t="shared" ref="B21:AC21" si="1">B19*$B$8</f>
        <v>155.83333333333334</v>
      </c>
      <c r="C21" s="179">
        <f t="shared" si="1"/>
        <v>155.83333333333334</v>
      </c>
      <c r="D21" s="179">
        <f t="shared" si="1"/>
        <v>155.83333333333334</v>
      </c>
      <c r="E21" s="179">
        <f t="shared" si="1"/>
        <v>155.83333333333334</v>
      </c>
      <c r="F21" s="179">
        <f t="shared" si="1"/>
        <v>155.83333333333334</v>
      </c>
      <c r="G21" s="179">
        <f t="shared" si="1"/>
        <v>155.83333333333334</v>
      </c>
      <c r="H21" s="179">
        <f t="shared" si="1"/>
        <v>171.41666666666669</v>
      </c>
      <c r="I21" s="179">
        <f t="shared" si="1"/>
        <v>187</v>
      </c>
      <c r="J21" s="179">
        <f t="shared" si="1"/>
        <v>202.58333333333334</v>
      </c>
      <c r="K21" s="179">
        <f t="shared" si="1"/>
        <v>218.16666666666666</v>
      </c>
      <c r="L21" s="179">
        <f t="shared" si="1"/>
        <v>218.16666666666666</v>
      </c>
      <c r="M21" s="179">
        <f t="shared" si="1"/>
        <v>218.16666666666666</v>
      </c>
      <c r="N21" s="179">
        <f t="shared" si="1"/>
        <v>218.16666666666666</v>
      </c>
      <c r="O21" s="179">
        <f t="shared" si="1"/>
        <v>218.16666666666666</v>
      </c>
      <c r="P21" s="179">
        <f t="shared" si="1"/>
        <v>218.16666666666666</v>
      </c>
      <c r="Q21" s="179">
        <f t="shared" si="1"/>
        <v>124.66666666666669</v>
      </c>
      <c r="R21" s="179">
        <f t="shared" si="1"/>
        <v>249.33333333333337</v>
      </c>
      <c r="S21" s="179">
        <f t="shared" si="1"/>
        <v>249.33333333333337</v>
      </c>
      <c r="T21" s="179">
        <f t="shared" si="1"/>
        <v>249.33333333333337</v>
      </c>
      <c r="U21" s="179">
        <f t="shared" si="1"/>
        <v>249.33333333333337</v>
      </c>
      <c r="V21" s="179">
        <f t="shared" si="1"/>
        <v>249.33333333333337</v>
      </c>
      <c r="W21" s="179">
        <f t="shared" si="1"/>
        <v>218.16666666666666</v>
      </c>
      <c r="X21" s="179">
        <f t="shared" si="1"/>
        <v>124.66666666666669</v>
      </c>
      <c r="Y21" s="179">
        <f t="shared" si="1"/>
        <v>187</v>
      </c>
      <c r="Z21" s="179">
        <f t="shared" si="1"/>
        <v>187</v>
      </c>
      <c r="AA21" s="179">
        <f t="shared" si="1"/>
        <v>187</v>
      </c>
      <c r="AB21" s="188">
        <f t="shared" si="1"/>
        <v>187</v>
      </c>
      <c r="AC21" s="25">
        <f t="shared" si="1"/>
        <v>124.66666666666669</v>
      </c>
      <c r="AD21" s="26"/>
      <c r="AE21" s="26"/>
      <c r="AF21" s="26"/>
      <c r="AG21" s="26"/>
      <c r="AH21" s="26"/>
    </row>
    <row r="22" spans="1:34" s="30" customFormat="1" x14ac:dyDescent="0.2">
      <c r="A22" s="24" t="s">
        <v>106</v>
      </c>
      <c r="B22" s="28">
        <f t="shared" ref="B22:AC22" si="2">B21*$B$5</f>
        <v>233.75</v>
      </c>
      <c r="C22" s="28">
        <f t="shared" si="2"/>
        <v>233.75</v>
      </c>
      <c r="D22" s="28">
        <f t="shared" si="2"/>
        <v>233.75</v>
      </c>
      <c r="E22" s="28">
        <f t="shared" si="2"/>
        <v>233.75</v>
      </c>
      <c r="F22" s="28">
        <f t="shared" si="2"/>
        <v>233.75</v>
      </c>
      <c r="G22" s="28">
        <f t="shared" si="2"/>
        <v>233.75</v>
      </c>
      <c r="H22" s="28">
        <f t="shared" si="2"/>
        <v>257.125</v>
      </c>
      <c r="I22" s="28">
        <f t="shared" si="2"/>
        <v>280.5</v>
      </c>
      <c r="J22" s="28">
        <f t="shared" si="2"/>
        <v>303.875</v>
      </c>
      <c r="K22" s="28">
        <f t="shared" si="2"/>
        <v>327.25</v>
      </c>
      <c r="L22" s="28">
        <f t="shared" si="2"/>
        <v>327.25</v>
      </c>
      <c r="M22" s="28">
        <f t="shared" si="2"/>
        <v>327.25</v>
      </c>
      <c r="N22" s="28">
        <f t="shared" si="2"/>
        <v>327.25</v>
      </c>
      <c r="O22" s="28">
        <f t="shared" si="2"/>
        <v>327.25</v>
      </c>
      <c r="P22" s="28">
        <f t="shared" si="2"/>
        <v>327.25</v>
      </c>
      <c r="Q22" s="28">
        <f t="shared" si="2"/>
        <v>187.00000000000003</v>
      </c>
      <c r="R22" s="28">
        <f t="shared" si="2"/>
        <v>374.00000000000006</v>
      </c>
      <c r="S22" s="28">
        <f t="shared" si="2"/>
        <v>374.00000000000006</v>
      </c>
      <c r="T22" s="28">
        <f t="shared" si="2"/>
        <v>374.00000000000006</v>
      </c>
      <c r="U22" s="28">
        <f t="shared" si="2"/>
        <v>374.00000000000006</v>
      </c>
      <c r="V22" s="28">
        <f t="shared" si="2"/>
        <v>374.00000000000006</v>
      </c>
      <c r="W22" s="28">
        <f t="shared" si="2"/>
        <v>327.25</v>
      </c>
      <c r="X22" s="28">
        <f t="shared" si="2"/>
        <v>187.00000000000003</v>
      </c>
      <c r="Y22" s="28">
        <f t="shared" si="2"/>
        <v>280.5</v>
      </c>
      <c r="Z22" s="28">
        <f t="shared" si="2"/>
        <v>280.5</v>
      </c>
      <c r="AA22" s="28">
        <f t="shared" si="2"/>
        <v>280.5</v>
      </c>
      <c r="AB22" s="175">
        <f t="shared" si="2"/>
        <v>280.5</v>
      </c>
      <c r="AC22" s="28">
        <f t="shared" si="2"/>
        <v>187.00000000000003</v>
      </c>
      <c r="AD22" s="29"/>
      <c r="AE22" s="29"/>
      <c r="AF22" s="29"/>
      <c r="AG22" s="29"/>
      <c r="AH22" s="29"/>
    </row>
    <row r="23" spans="1:34" s="30" customFormat="1" x14ac:dyDescent="0.2">
      <c r="A23" s="24" t="s">
        <v>107</v>
      </c>
      <c r="B23" s="101">
        <f>$B$9</f>
        <v>17</v>
      </c>
      <c r="C23" s="101">
        <f t="shared" ref="C23:AC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01">
        <f t="shared" si="3"/>
        <v>17</v>
      </c>
      <c r="N23" s="101">
        <f t="shared" si="3"/>
        <v>17</v>
      </c>
      <c r="O23" s="101">
        <f t="shared" si="3"/>
        <v>17</v>
      </c>
      <c r="P23" s="101">
        <f t="shared" si="3"/>
        <v>17</v>
      </c>
      <c r="Q23" s="101">
        <f t="shared" si="3"/>
        <v>17</v>
      </c>
      <c r="R23" s="101">
        <f t="shared" si="3"/>
        <v>17</v>
      </c>
      <c r="S23" s="101">
        <f t="shared" si="3"/>
        <v>17</v>
      </c>
      <c r="T23" s="101">
        <f t="shared" si="3"/>
        <v>17</v>
      </c>
      <c r="U23" s="101">
        <f t="shared" si="3"/>
        <v>17</v>
      </c>
      <c r="V23" s="101">
        <f t="shared" si="3"/>
        <v>17</v>
      </c>
      <c r="W23" s="101">
        <f t="shared" si="3"/>
        <v>17</v>
      </c>
      <c r="X23" s="101">
        <f t="shared" si="3"/>
        <v>17</v>
      </c>
      <c r="Y23" s="101">
        <f t="shared" si="3"/>
        <v>17</v>
      </c>
      <c r="Z23" s="101">
        <f t="shared" si="3"/>
        <v>17</v>
      </c>
      <c r="AA23" s="101">
        <f t="shared" si="3"/>
        <v>17</v>
      </c>
      <c r="AB23" s="189">
        <f t="shared" si="3"/>
        <v>17</v>
      </c>
      <c r="AC23" s="101">
        <f t="shared" si="3"/>
        <v>17</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105.4</v>
      </c>
      <c r="K24" s="101">
        <f t="shared" si="4"/>
        <v>0</v>
      </c>
      <c r="L24" s="101">
        <f t="shared" si="4"/>
        <v>105.4</v>
      </c>
      <c r="M24" s="101">
        <f t="shared" si="4"/>
        <v>105.4</v>
      </c>
      <c r="N24" s="101">
        <f t="shared" si="4"/>
        <v>0</v>
      </c>
      <c r="O24" s="101">
        <f t="shared" si="4"/>
        <v>0</v>
      </c>
      <c r="P24" s="101">
        <f t="shared" si="4"/>
        <v>105.4</v>
      </c>
      <c r="Q24" s="101">
        <f t="shared" si="4"/>
        <v>0</v>
      </c>
      <c r="R24" s="101">
        <f t="shared" si="4"/>
        <v>105.4</v>
      </c>
      <c r="S24" s="101">
        <f t="shared" si="4"/>
        <v>105.4</v>
      </c>
      <c r="T24" s="101">
        <f t="shared" si="4"/>
        <v>105.4</v>
      </c>
      <c r="U24" s="101">
        <f t="shared" si="4"/>
        <v>105.4</v>
      </c>
      <c r="V24" s="101">
        <f t="shared" si="4"/>
        <v>105.4</v>
      </c>
      <c r="W24" s="101">
        <f t="shared" si="4"/>
        <v>105.4</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250.75</v>
      </c>
      <c r="C25" s="28">
        <f t="shared" si="5"/>
        <v>250.75</v>
      </c>
      <c r="D25" s="28">
        <f t="shared" si="5"/>
        <v>250.75</v>
      </c>
      <c r="E25" s="28">
        <f t="shared" si="5"/>
        <v>250.75</v>
      </c>
      <c r="F25" s="28">
        <f t="shared" si="5"/>
        <v>250.75</v>
      </c>
      <c r="G25" s="28">
        <f t="shared" si="5"/>
        <v>250.75</v>
      </c>
      <c r="H25" s="28">
        <f t="shared" si="5"/>
        <v>274.125</v>
      </c>
      <c r="I25" s="28">
        <f t="shared" si="5"/>
        <v>297.5</v>
      </c>
      <c r="J25" s="28">
        <f t="shared" si="5"/>
        <v>426.27499999999998</v>
      </c>
      <c r="K25" s="28">
        <f t="shared" si="5"/>
        <v>344.25</v>
      </c>
      <c r="L25" s="28">
        <f t="shared" si="5"/>
        <v>449.65</v>
      </c>
      <c r="M25" s="28">
        <f t="shared" si="5"/>
        <v>449.65</v>
      </c>
      <c r="N25" s="28">
        <f t="shared" si="5"/>
        <v>344.25</v>
      </c>
      <c r="O25" s="28">
        <f t="shared" si="5"/>
        <v>344.25</v>
      </c>
      <c r="P25" s="28">
        <f t="shared" si="5"/>
        <v>449.65</v>
      </c>
      <c r="Q25" s="28">
        <f t="shared" si="5"/>
        <v>204.00000000000003</v>
      </c>
      <c r="R25" s="28">
        <f t="shared" si="5"/>
        <v>496.40000000000009</v>
      </c>
      <c r="S25" s="28">
        <f t="shared" si="5"/>
        <v>496.40000000000009</v>
      </c>
      <c r="T25" s="28">
        <f t="shared" si="5"/>
        <v>496.40000000000009</v>
      </c>
      <c r="U25" s="28">
        <f t="shared" si="5"/>
        <v>496.40000000000009</v>
      </c>
      <c r="V25" s="28">
        <f t="shared" si="5"/>
        <v>496.40000000000009</v>
      </c>
      <c r="W25" s="28">
        <f t="shared" si="5"/>
        <v>449.65</v>
      </c>
      <c r="X25" s="28">
        <f t="shared" si="5"/>
        <v>204.00000000000003</v>
      </c>
      <c r="Y25" s="28">
        <f t="shared" si="5"/>
        <v>297.5</v>
      </c>
      <c r="Z25" s="28">
        <f t="shared" si="5"/>
        <v>297.5</v>
      </c>
      <c r="AA25" s="28">
        <f t="shared" si="5"/>
        <v>297.5</v>
      </c>
      <c r="AB25" s="175">
        <f t="shared" si="5"/>
        <v>297.5</v>
      </c>
      <c r="AC25" s="28">
        <f t="shared" si="5"/>
        <v>204.00000000000003</v>
      </c>
      <c r="AD25" s="29"/>
      <c r="AE25" s="29"/>
      <c r="AF25" s="29"/>
      <c r="AG25" s="29"/>
      <c r="AH25" s="29"/>
    </row>
    <row r="26" spans="1:34" s="30" customFormat="1" x14ac:dyDescent="0.2">
      <c r="A26" s="31" t="s">
        <v>110</v>
      </c>
      <c r="B26" s="32">
        <f t="shared" ref="B26:AB26" si="6">-IF(ISBLANK(B117),0,MIN(B$22*$H$10,B$22-$B$7*$H$9))</f>
        <v>-46.75</v>
      </c>
      <c r="C26" s="32">
        <f t="shared" si="6"/>
        <v>-46.75</v>
      </c>
      <c r="D26" s="32">
        <f t="shared" si="6"/>
        <v>-46.75</v>
      </c>
      <c r="E26" s="32">
        <f t="shared" si="6"/>
        <v>0</v>
      </c>
      <c r="F26" s="32">
        <f t="shared" si="6"/>
        <v>-46.75</v>
      </c>
      <c r="G26" s="32">
        <f t="shared" si="6"/>
        <v>-46.75</v>
      </c>
      <c r="H26" s="32">
        <f t="shared" si="6"/>
        <v>-67.881</v>
      </c>
      <c r="I26" s="32">
        <f t="shared" si="6"/>
        <v>-74.052000000000007</v>
      </c>
      <c r="J26" s="32">
        <f t="shared" si="6"/>
        <v>0</v>
      </c>
      <c r="K26" s="32">
        <f t="shared" si="6"/>
        <v>0</v>
      </c>
      <c r="L26" s="32">
        <f t="shared" si="6"/>
        <v>0</v>
      </c>
      <c r="M26" s="32">
        <f t="shared" si="6"/>
        <v>0</v>
      </c>
      <c r="N26" s="32">
        <f t="shared" si="6"/>
        <v>-86.394000000000005</v>
      </c>
      <c r="O26" s="32">
        <f t="shared" si="6"/>
        <v>-86.394000000000005</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-74.052000000000007</v>
      </c>
      <c r="Z26" s="32">
        <f t="shared" si="6"/>
        <v>-74.052000000000007</v>
      </c>
      <c r="AA26" s="32">
        <f t="shared" si="6"/>
        <v>-74.052000000000007</v>
      </c>
      <c r="AB26" s="172">
        <f t="shared" si="6"/>
        <v>-74.052000000000007</v>
      </c>
      <c r="AC26" s="28">
        <f>-IF(ISBLANK(AC105),0,MIN(AC$22*$H$10,AC$22-$B$7*$H$9))</f>
        <v>0</v>
      </c>
      <c r="AD26" s="29"/>
      <c r="AE26" s="29"/>
      <c r="AF26" s="29"/>
      <c r="AG26" s="29"/>
      <c r="AH26" s="29"/>
    </row>
    <row r="27" spans="1:34" s="30" customFormat="1" x14ac:dyDescent="0.2">
      <c r="A27" s="24" t="s">
        <v>111</v>
      </c>
      <c r="B27" s="32">
        <f t="shared" ref="B27:AB27" si="7">SUM(B25:B26)</f>
        <v>204</v>
      </c>
      <c r="C27" s="32">
        <f t="shared" si="7"/>
        <v>204</v>
      </c>
      <c r="D27" s="32">
        <f t="shared" si="7"/>
        <v>204</v>
      </c>
      <c r="E27" s="32">
        <f t="shared" si="7"/>
        <v>250.75</v>
      </c>
      <c r="F27" s="32">
        <f t="shared" si="7"/>
        <v>204</v>
      </c>
      <c r="G27" s="32">
        <f t="shared" si="7"/>
        <v>204</v>
      </c>
      <c r="H27" s="32">
        <f t="shared" si="7"/>
        <v>206.244</v>
      </c>
      <c r="I27" s="32">
        <f t="shared" si="7"/>
        <v>223.44799999999998</v>
      </c>
      <c r="J27" s="32">
        <f t="shared" si="7"/>
        <v>426.27499999999998</v>
      </c>
      <c r="K27" s="32">
        <f t="shared" si="7"/>
        <v>344.25</v>
      </c>
      <c r="L27" s="32">
        <f t="shared" si="7"/>
        <v>449.65</v>
      </c>
      <c r="M27" s="32">
        <f t="shared" si="7"/>
        <v>449.65</v>
      </c>
      <c r="N27" s="32">
        <f t="shared" si="7"/>
        <v>257.85599999999999</v>
      </c>
      <c r="O27" s="32">
        <f t="shared" si="7"/>
        <v>257.85599999999999</v>
      </c>
      <c r="P27" s="32">
        <f t="shared" si="7"/>
        <v>449.65</v>
      </c>
      <c r="Q27" s="32">
        <f t="shared" si="7"/>
        <v>204.00000000000003</v>
      </c>
      <c r="R27" s="32">
        <f t="shared" si="7"/>
        <v>496.40000000000009</v>
      </c>
      <c r="S27" s="32">
        <f t="shared" si="7"/>
        <v>496.40000000000009</v>
      </c>
      <c r="T27" s="32">
        <f t="shared" si="7"/>
        <v>496.40000000000009</v>
      </c>
      <c r="U27" s="32">
        <f t="shared" si="7"/>
        <v>496.40000000000009</v>
      </c>
      <c r="V27" s="32">
        <f t="shared" si="7"/>
        <v>496.40000000000009</v>
      </c>
      <c r="W27" s="32">
        <f t="shared" si="7"/>
        <v>449.65</v>
      </c>
      <c r="X27" s="32">
        <f t="shared" si="7"/>
        <v>204.00000000000003</v>
      </c>
      <c r="Y27" s="32">
        <f t="shared" si="7"/>
        <v>223.44799999999998</v>
      </c>
      <c r="Z27" s="32">
        <f t="shared" si="7"/>
        <v>223.44799999999998</v>
      </c>
      <c r="AA27" s="32">
        <f t="shared" si="7"/>
        <v>223.44799999999998</v>
      </c>
      <c r="AB27" s="172">
        <f t="shared" si="7"/>
        <v>223.44799999999998</v>
      </c>
      <c r="AC27" s="28">
        <f>SUM(AC25:AC26)</f>
        <v>204.00000000000003</v>
      </c>
      <c r="AD27" s="29"/>
      <c r="AE27" s="29"/>
      <c r="AF27" s="29"/>
      <c r="AG27" s="29"/>
      <c r="AH27" s="29"/>
    </row>
    <row r="28" spans="1:34" s="30" customFormat="1" x14ac:dyDescent="0.2">
      <c r="A28" s="31" t="s">
        <v>112</v>
      </c>
      <c r="B28" s="32">
        <f>AVERAGE(AA22:AB22,B22)</f>
        <v>264.91666666666669</v>
      </c>
      <c r="C28" s="32">
        <f>AVERAGE(AB22,B22:C22)</f>
        <v>249.33333333333334</v>
      </c>
      <c r="D28" s="32">
        <f t="shared" ref="D28:AB28" si="8">AVERAGE(B22:D22)</f>
        <v>233.75</v>
      </c>
      <c r="E28" s="32">
        <f t="shared" si="8"/>
        <v>233.75</v>
      </c>
      <c r="F28" s="32">
        <f t="shared" si="8"/>
        <v>233.75</v>
      </c>
      <c r="G28" s="32">
        <f t="shared" si="8"/>
        <v>233.75</v>
      </c>
      <c r="H28" s="32">
        <f t="shared" si="8"/>
        <v>241.54166666666666</v>
      </c>
      <c r="I28" s="32">
        <f t="shared" si="8"/>
        <v>257.125</v>
      </c>
      <c r="J28" s="32">
        <f t="shared" si="8"/>
        <v>280.5</v>
      </c>
      <c r="K28" s="32">
        <f t="shared" si="8"/>
        <v>303.875</v>
      </c>
      <c r="L28" s="32">
        <f t="shared" si="8"/>
        <v>319.45833333333331</v>
      </c>
      <c r="M28" s="32">
        <f t="shared" si="8"/>
        <v>327.25</v>
      </c>
      <c r="N28" s="32">
        <f t="shared" si="8"/>
        <v>327.25</v>
      </c>
      <c r="O28" s="32">
        <f t="shared" si="8"/>
        <v>327.25</v>
      </c>
      <c r="P28" s="32">
        <f t="shared" si="8"/>
        <v>327.25</v>
      </c>
      <c r="Q28" s="32">
        <f t="shared" si="8"/>
        <v>280.5</v>
      </c>
      <c r="R28" s="32">
        <f t="shared" si="8"/>
        <v>296.08333333333331</v>
      </c>
      <c r="S28" s="32">
        <f t="shared" si="8"/>
        <v>311.66666666666674</v>
      </c>
      <c r="T28" s="32">
        <f t="shared" si="8"/>
        <v>374.00000000000006</v>
      </c>
      <c r="U28" s="32">
        <f t="shared" si="8"/>
        <v>374.00000000000006</v>
      </c>
      <c r="V28" s="32">
        <f t="shared" si="8"/>
        <v>374.00000000000006</v>
      </c>
      <c r="W28" s="32">
        <f t="shared" si="8"/>
        <v>358.41666666666669</v>
      </c>
      <c r="X28" s="32">
        <f t="shared" si="8"/>
        <v>296.08333333333331</v>
      </c>
      <c r="Y28" s="32">
        <f t="shared" si="8"/>
        <v>264.91666666666669</v>
      </c>
      <c r="Z28" s="32">
        <f t="shared" si="8"/>
        <v>249.33333333333334</v>
      </c>
      <c r="AA28" s="32">
        <f t="shared" si="8"/>
        <v>280.5</v>
      </c>
      <c r="AB28" s="172">
        <f t="shared" si="8"/>
        <v>280.5</v>
      </c>
      <c r="AC28" s="28">
        <f>SUM(AC25:AC26)</f>
        <v>204.00000000000003</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34</v>
      </c>
      <c r="C30" s="32">
        <f t="shared" si="9"/>
        <v>34</v>
      </c>
      <c r="D30" s="32">
        <f t="shared" si="9"/>
        <v>34</v>
      </c>
      <c r="E30" s="32">
        <f t="shared" si="9"/>
        <v>0</v>
      </c>
      <c r="F30" s="32">
        <f t="shared" si="9"/>
        <v>34</v>
      </c>
      <c r="G30" s="32">
        <f t="shared" si="9"/>
        <v>34</v>
      </c>
      <c r="H30" s="32">
        <f t="shared" si="9"/>
        <v>34</v>
      </c>
      <c r="I30" s="32">
        <f t="shared" si="9"/>
        <v>34</v>
      </c>
      <c r="J30" s="32">
        <f t="shared" si="9"/>
        <v>0</v>
      </c>
      <c r="K30" s="32">
        <f t="shared" si="9"/>
        <v>0</v>
      </c>
      <c r="L30" s="32">
        <f t="shared" si="9"/>
        <v>0</v>
      </c>
      <c r="M30" s="32">
        <f t="shared" si="9"/>
        <v>0</v>
      </c>
      <c r="N30" s="32">
        <f t="shared" si="9"/>
        <v>34</v>
      </c>
      <c r="O30" s="32">
        <f t="shared" si="9"/>
        <v>34</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34</v>
      </c>
      <c r="Z30" s="32">
        <f t="shared" si="9"/>
        <v>34</v>
      </c>
      <c r="AA30" s="32">
        <f t="shared" si="9"/>
        <v>34</v>
      </c>
      <c r="AB30" s="172">
        <f t="shared" si="9"/>
        <v>34</v>
      </c>
      <c r="AC30" s="28">
        <f t="shared" si="9"/>
        <v>34</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0.45582916249582905</v>
      </c>
      <c r="C34" s="36">
        <f t="shared" ref="C34:AC34" si="11">((C36*$B$143)/$B$2)</f>
        <v>0.45582916249582905</v>
      </c>
      <c r="D34" s="36">
        <f t="shared" si="11"/>
        <v>0.45582916249582905</v>
      </c>
      <c r="E34" s="36">
        <f t="shared" si="11"/>
        <v>0.45582916249582905</v>
      </c>
      <c r="F34" s="36">
        <f t="shared" si="11"/>
        <v>0.45582916249582905</v>
      </c>
      <c r="G34" s="36">
        <f t="shared" si="11"/>
        <v>0.45582916249582905</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0.45582916249582905</v>
      </c>
      <c r="AD34" s="26"/>
      <c r="AE34" s="26"/>
      <c r="AF34" s="26"/>
      <c r="AG34" s="26"/>
      <c r="AH34" s="26"/>
    </row>
    <row r="35" spans="1:34" s="30" customFormat="1" x14ac:dyDescent="0.2">
      <c r="A35" s="24" t="s">
        <v>119</v>
      </c>
      <c r="B35" s="132">
        <f t="shared" ref="B35:AC35" si="12">ROUND($B$2*B$32,2)</f>
        <v>7.7</v>
      </c>
      <c r="C35" s="132">
        <f t="shared" si="12"/>
        <v>7.7</v>
      </c>
      <c r="D35" s="132">
        <f t="shared" si="12"/>
        <v>7.7</v>
      </c>
      <c r="E35" s="132">
        <f t="shared" si="12"/>
        <v>7.7</v>
      </c>
      <c r="F35" s="132">
        <f t="shared" si="12"/>
        <v>7.7</v>
      </c>
      <c r="G35" s="132">
        <f t="shared" si="12"/>
        <v>7.7</v>
      </c>
      <c r="H35" s="132">
        <f t="shared" si="12"/>
        <v>8.8000000000000007</v>
      </c>
      <c r="I35" s="132">
        <f t="shared" si="12"/>
        <v>8.8000000000000007</v>
      </c>
      <c r="J35" s="132">
        <f t="shared" si="12"/>
        <v>8.8000000000000007</v>
      </c>
      <c r="K35" s="132">
        <f t="shared" si="12"/>
        <v>9.9</v>
      </c>
      <c r="L35" s="132">
        <f t="shared" si="12"/>
        <v>9.9</v>
      </c>
      <c r="M35" s="132">
        <f t="shared" si="12"/>
        <v>9.9</v>
      </c>
      <c r="N35" s="132">
        <f t="shared" si="12"/>
        <v>11</v>
      </c>
      <c r="O35" s="132">
        <f t="shared" si="12"/>
        <v>11</v>
      </c>
      <c r="P35" s="132">
        <f t="shared" si="12"/>
        <v>11</v>
      </c>
      <c r="Q35" s="132">
        <f t="shared" si="12"/>
        <v>11</v>
      </c>
      <c r="R35" s="132">
        <f t="shared" si="12"/>
        <v>11</v>
      </c>
      <c r="S35" s="132">
        <f t="shared" si="12"/>
        <v>11</v>
      </c>
      <c r="T35" s="132">
        <f t="shared" si="12"/>
        <v>11</v>
      </c>
      <c r="U35" s="132">
        <f t="shared" si="12"/>
        <v>11</v>
      </c>
      <c r="V35" s="132">
        <f t="shared" si="12"/>
        <v>11</v>
      </c>
      <c r="W35" s="132">
        <f t="shared" si="12"/>
        <v>11</v>
      </c>
      <c r="X35" s="132">
        <f t="shared" si="12"/>
        <v>11</v>
      </c>
      <c r="Y35" s="132">
        <f t="shared" si="12"/>
        <v>11</v>
      </c>
      <c r="Z35" s="132">
        <f t="shared" si="12"/>
        <v>11</v>
      </c>
      <c r="AA35" s="132">
        <f t="shared" si="12"/>
        <v>11</v>
      </c>
      <c r="AB35" s="192">
        <f t="shared" si="12"/>
        <v>11</v>
      </c>
      <c r="AC35" s="132">
        <f t="shared" si="12"/>
        <v>7.7</v>
      </c>
      <c r="AD35" s="26"/>
      <c r="AE35" s="26"/>
      <c r="AF35" s="26"/>
      <c r="AG35" s="26"/>
      <c r="AH35" s="26"/>
    </row>
    <row r="36" spans="1:34" x14ac:dyDescent="0.2">
      <c r="A36" s="24" t="s">
        <v>120</v>
      </c>
      <c r="B36" s="132">
        <f t="shared" ref="B36:AC36" si="13">ROUND($B$2*B$33,2)</f>
        <v>6.16</v>
      </c>
      <c r="C36" s="132">
        <f t="shared" si="13"/>
        <v>6.16</v>
      </c>
      <c r="D36" s="132">
        <f t="shared" si="13"/>
        <v>6.16</v>
      </c>
      <c r="E36" s="132">
        <f t="shared" si="13"/>
        <v>6.16</v>
      </c>
      <c r="F36" s="132">
        <f t="shared" si="13"/>
        <v>6.16</v>
      </c>
      <c r="G36" s="132">
        <f t="shared" si="13"/>
        <v>6.16</v>
      </c>
      <c r="H36" s="132">
        <f t="shared" si="13"/>
        <v>7.04</v>
      </c>
      <c r="I36" s="132">
        <f t="shared" si="13"/>
        <v>7.04</v>
      </c>
      <c r="J36" s="132">
        <f t="shared" si="13"/>
        <v>7.04</v>
      </c>
      <c r="K36" s="132">
        <f t="shared" si="13"/>
        <v>7.92</v>
      </c>
      <c r="L36" s="132">
        <f t="shared" si="13"/>
        <v>7.92</v>
      </c>
      <c r="M36" s="132">
        <f t="shared" si="13"/>
        <v>7.92</v>
      </c>
      <c r="N36" s="132">
        <f t="shared" si="13"/>
        <v>8.8000000000000007</v>
      </c>
      <c r="O36" s="132">
        <f t="shared" si="13"/>
        <v>8.8000000000000007</v>
      </c>
      <c r="P36" s="132">
        <f t="shared" si="13"/>
        <v>8.8000000000000007</v>
      </c>
      <c r="Q36" s="132">
        <f t="shared" si="13"/>
        <v>8.8000000000000007</v>
      </c>
      <c r="R36" s="132">
        <f t="shared" si="13"/>
        <v>8.8000000000000007</v>
      </c>
      <c r="S36" s="132">
        <f t="shared" si="13"/>
        <v>8.8000000000000007</v>
      </c>
      <c r="T36" s="132">
        <f t="shared" si="13"/>
        <v>8.8000000000000007</v>
      </c>
      <c r="U36" s="132">
        <f t="shared" si="13"/>
        <v>8.8000000000000007</v>
      </c>
      <c r="V36" s="132">
        <f t="shared" si="13"/>
        <v>8.8000000000000007</v>
      </c>
      <c r="W36" s="132">
        <f t="shared" si="13"/>
        <v>8.8000000000000007</v>
      </c>
      <c r="X36" s="132">
        <f t="shared" si="13"/>
        <v>8.8000000000000007</v>
      </c>
      <c r="Y36" s="132">
        <f t="shared" si="13"/>
        <v>8.8000000000000007</v>
      </c>
      <c r="Z36" s="132">
        <f t="shared" si="13"/>
        <v>8.8000000000000007</v>
      </c>
      <c r="AA36" s="132">
        <f t="shared" si="13"/>
        <v>8.8000000000000007</v>
      </c>
      <c r="AB36" s="192">
        <f t="shared" si="13"/>
        <v>8.8000000000000007</v>
      </c>
      <c r="AC36" s="132">
        <f t="shared" si="13"/>
        <v>6.16</v>
      </c>
      <c r="AD36" s="14"/>
      <c r="AE36" s="14"/>
      <c r="AF36" s="14"/>
      <c r="AG36" s="14"/>
      <c r="AH36" s="14"/>
    </row>
    <row r="37" spans="1:34" x14ac:dyDescent="0.2">
      <c r="A37" s="202" t="s">
        <v>121</v>
      </c>
      <c r="B37" s="360">
        <f>B34*$B$2</f>
        <v>5.0141207874541198</v>
      </c>
      <c r="C37" s="360">
        <f t="shared" ref="C37:AC37" si="14">C34*$B$2</f>
        <v>5.0141207874541198</v>
      </c>
      <c r="D37" s="360">
        <f t="shared" si="14"/>
        <v>5.0141207874541198</v>
      </c>
      <c r="E37" s="360">
        <f t="shared" si="14"/>
        <v>5.0141207874541198</v>
      </c>
      <c r="F37" s="360">
        <f t="shared" si="14"/>
        <v>5.0141207874541198</v>
      </c>
      <c r="G37" s="360">
        <f t="shared" si="14"/>
        <v>5.0141207874541198</v>
      </c>
      <c r="H37" s="360">
        <f t="shared" si="14"/>
        <v>5.7304237570904224</v>
      </c>
      <c r="I37" s="360">
        <f t="shared" si="14"/>
        <v>5.7304237570904224</v>
      </c>
      <c r="J37" s="360">
        <f t="shared" si="14"/>
        <v>5.7304237570904224</v>
      </c>
      <c r="K37" s="360">
        <f t="shared" si="14"/>
        <v>6.446726726726725</v>
      </c>
      <c r="L37" s="360">
        <f t="shared" si="14"/>
        <v>6.446726726726725</v>
      </c>
      <c r="M37" s="360">
        <f t="shared" si="14"/>
        <v>6.446726726726725</v>
      </c>
      <c r="N37" s="360">
        <f t="shared" si="14"/>
        <v>7.1630296963630276</v>
      </c>
      <c r="O37" s="360">
        <f t="shared" si="14"/>
        <v>7.1630296963630276</v>
      </c>
      <c r="P37" s="360">
        <f t="shared" si="14"/>
        <v>7.1630296963630276</v>
      </c>
      <c r="Q37" s="360">
        <f t="shared" si="14"/>
        <v>7.1630296963630276</v>
      </c>
      <c r="R37" s="360">
        <f t="shared" si="14"/>
        <v>7.1630296963630276</v>
      </c>
      <c r="S37" s="360">
        <f t="shared" si="14"/>
        <v>7.1630296963630276</v>
      </c>
      <c r="T37" s="360">
        <f t="shared" si="14"/>
        <v>7.1630296963630276</v>
      </c>
      <c r="U37" s="360">
        <f t="shared" si="14"/>
        <v>7.1630296963630276</v>
      </c>
      <c r="V37" s="360">
        <f t="shared" si="14"/>
        <v>7.1630296963630276</v>
      </c>
      <c r="W37" s="360">
        <f t="shared" si="14"/>
        <v>7.1630296963630276</v>
      </c>
      <c r="X37" s="360">
        <f t="shared" si="14"/>
        <v>7.1630296963630276</v>
      </c>
      <c r="Y37" s="360">
        <f t="shared" si="14"/>
        <v>7.1630296963630276</v>
      </c>
      <c r="Z37" s="360">
        <f t="shared" si="14"/>
        <v>7.1630296963630276</v>
      </c>
      <c r="AA37" s="360">
        <f t="shared" si="14"/>
        <v>7.1630296963630276</v>
      </c>
      <c r="AB37" s="360">
        <f t="shared" si="14"/>
        <v>7.1630296963630276</v>
      </c>
      <c r="AC37" s="360">
        <f t="shared" si="14"/>
        <v>5.0141207874541198</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4.2964964964964949</v>
      </c>
      <c r="C39" s="323">
        <f t="shared" si="15"/>
        <v>4.2964964964964949</v>
      </c>
      <c r="D39" s="323">
        <f t="shared" si="15"/>
        <v>4.2964964964964949</v>
      </c>
      <c r="E39" s="323">
        <f t="shared" si="15"/>
        <v>4.2964964964964949</v>
      </c>
      <c r="F39" s="323">
        <f t="shared" si="15"/>
        <v>4.2964964964964949</v>
      </c>
      <c r="G39" s="323">
        <f t="shared" si="15"/>
        <v>4.2964964964964949</v>
      </c>
      <c r="H39" s="323">
        <f t="shared" si="15"/>
        <v>4.9102817102817085</v>
      </c>
      <c r="I39" s="323">
        <f t="shared" si="15"/>
        <v>4.9102817102817085</v>
      </c>
      <c r="J39" s="323">
        <f t="shared" si="15"/>
        <v>4.9102817102817085</v>
      </c>
      <c r="K39" s="323">
        <f t="shared" si="15"/>
        <v>5.524066924066922</v>
      </c>
      <c r="L39" s="323">
        <f t="shared" si="15"/>
        <v>5.524066924066922</v>
      </c>
      <c r="M39" s="323">
        <f t="shared" si="15"/>
        <v>5.524066924066922</v>
      </c>
      <c r="N39" s="323">
        <f t="shared" si="15"/>
        <v>6.1378521378521356</v>
      </c>
      <c r="O39" s="323">
        <f t="shared" si="15"/>
        <v>6.1378521378521356</v>
      </c>
      <c r="P39" s="323">
        <f t="shared" si="15"/>
        <v>6.1378521378521356</v>
      </c>
      <c r="Q39" s="323">
        <f t="shared" si="15"/>
        <v>6.1378521378521356</v>
      </c>
      <c r="R39" s="323">
        <f t="shared" si="15"/>
        <v>6.1378521378521356</v>
      </c>
      <c r="S39" s="323">
        <f t="shared" si="15"/>
        <v>6.1378521378521356</v>
      </c>
      <c r="T39" s="323">
        <f t="shared" si="15"/>
        <v>6.1378521378521356</v>
      </c>
      <c r="U39" s="323">
        <f t="shared" si="15"/>
        <v>6.1378521378521356</v>
      </c>
      <c r="V39" s="323">
        <f t="shared" si="15"/>
        <v>6.1378521378521356</v>
      </c>
      <c r="W39" s="323">
        <f t="shared" si="15"/>
        <v>6.1378521378521356</v>
      </c>
      <c r="X39" s="323">
        <f t="shared" si="15"/>
        <v>6.1378521378521356</v>
      </c>
      <c r="Y39" s="323">
        <f t="shared" si="15"/>
        <v>6.1378521378521356</v>
      </c>
      <c r="Z39" s="323">
        <f t="shared" si="15"/>
        <v>6.1378521378521356</v>
      </c>
      <c r="AA39" s="323">
        <f t="shared" si="15"/>
        <v>6.1378521378521356</v>
      </c>
      <c r="AB39" s="323">
        <f t="shared" si="15"/>
        <v>6.1378521378521356</v>
      </c>
      <c r="AC39" s="323">
        <f t="shared" si="15"/>
        <v>4.2964964964964949</v>
      </c>
      <c r="AD39" s="224"/>
      <c r="AE39" s="224"/>
    </row>
    <row r="40" spans="1:34" s="225" customFormat="1" ht="12.75" x14ac:dyDescent="0.2">
      <c r="A40" s="240" t="s">
        <v>124</v>
      </c>
      <c r="B40" s="323">
        <f t="shared" ref="B40:AC40" si="16">IF($B145&gt;=0.9, B$36,B$36*$B145)</f>
        <v>0.93549549549549538</v>
      </c>
      <c r="C40" s="323">
        <f t="shared" si="16"/>
        <v>0.93549549549549538</v>
      </c>
      <c r="D40" s="323">
        <f t="shared" si="16"/>
        <v>0.93549549549549538</v>
      </c>
      <c r="E40" s="323">
        <f t="shared" si="16"/>
        <v>0.93549549549549538</v>
      </c>
      <c r="F40" s="323">
        <f t="shared" si="16"/>
        <v>0.93549549549549538</v>
      </c>
      <c r="G40" s="323">
        <f t="shared" si="16"/>
        <v>0.93549549549549538</v>
      </c>
      <c r="H40" s="323">
        <f t="shared" si="16"/>
        <v>1.069137709137709</v>
      </c>
      <c r="I40" s="323">
        <f t="shared" si="16"/>
        <v>1.069137709137709</v>
      </c>
      <c r="J40" s="323">
        <f t="shared" si="16"/>
        <v>1.069137709137709</v>
      </c>
      <c r="K40" s="323">
        <f t="shared" si="16"/>
        <v>1.2027799227799227</v>
      </c>
      <c r="L40" s="323">
        <f t="shared" si="16"/>
        <v>1.2027799227799227</v>
      </c>
      <c r="M40" s="323">
        <f t="shared" si="16"/>
        <v>1.2027799227799227</v>
      </c>
      <c r="N40" s="323">
        <f t="shared" si="16"/>
        <v>1.3364221364221365</v>
      </c>
      <c r="O40" s="323">
        <f t="shared" si="16"/>
        <v>1.3364221364221365</v>
      </c>
      <c r="P40" s="323">
        <f t="shared" si="16"/>
        <v>1.3364221364221365</v>
      </c>
      <c r="Q40" s="323">
        <f t="shared" si="16"/>
        <v>1.3364221364221365</v>
      </c>
      <c r="R40" s="323">
        <f t="shared" si="16"/>
        <v>1.3364221364221365</v>
      </c>
      <c r="S40" s="323">
        <f t="shared" si="16"/>
        <v>1.3364221364221365</v>
      </c>
      <c r="T40" s="323">
        <f t="shared" si="16"/>
        <v>1.3364221364221365</v>
      </c>
      <c r="U40" s="323">
        <f t="shared" si="16"/>
        <v>1.3364221364221365</v>
      </c>
      <c r="V40" s="323">
        <f t="shared" si="16"/>
        <v>1.3364221364221365</v>
      </c>
      <c r="W40" s="323">
        <f t="shared" si="16"/>
        <v>1.3364221364221365</v>
      </c>
      <c r="X40" s="323">
        <f t="shared" si="16"/>
        <v>1.3364221364221365</v>
      </c>
      <c r="Y40" s="323">
        <f t="shared" si="16"/>
        <v>1.3364221364221365</v>
      </c>
      <c r="Z40" s="323">
        <f t="shared" si="16"/>
        <v>1.3364221364221365</v>
      </c>
      <c r="AA40" s="323">
        <f t="shared" si="16"/>
        <v>1.3364221364221365</v>
      </c>
      <c r="AB40" s="323">
        <f t="shared" si="16"/>
        <v>1.3364221364221365</v>
      </c>
      <c r="AC40" s="323">
        <f t="shared" si="16"/>
        <v>0.93549549549549538</v>
      </c>
      <c r="AD40" s="224"/>
      <c r="AE40" s="224"/>
    </row>
    <row r="41" spans="1:34" s="225" customFormat="1" ht="12.75" x14ac:dyDescent="0.2">
      <c r="A41" s="240" t="s">
        <v>125</v>
      </c>
      <c r="B41" s="323">
        <f t="shared" ref="B41:AC41" si="17">IF($B146&gt;=0.9, B$36,B$36*$B146)</f>
        <v>2.4492892892892888</v>
      </c>
      <c r="C41" s="323">
        <f t="shared" si="17"/>
        <v>2.4492892892892888</v>
      </c>
      <c r="D41" s="323">
        <f t="shared" si="17"/>
        <v>2.4492892892892888</v>
      </c>
      <c r="E41" s="323">
        <f t="shared" si="17"/>
        <v>2.4492892892892888</v>
      </c>
      <c r="F41" s="323">
        <f t="shared" si="17"/>
        <v>2.4492892892892888</v>
      </c>
      <c r="G41" s="323">
        <f t="shared" si="17"/>
        <v>2.4492892892892888</v>
      </c>
      <c r="H41" s="323">
        <f t="shared" si="17"/>
        <v>2.7991877591877588</v>
      </c>
      <c r="I41" s="323">
        <f t="shared" si="17"/>
        <v>2.7991877591877588</v>
      </c>
      <c r="J41" s="323">
        <f t="shared" si="17"/>
        <v>2.7991877591877588</v>
      </c>
      <c r="K41" s="323">
        <f t="shared" si="17"/>
        <v>3.1490862290862283</v>
      </c>
      <c r="L41" s="323">
        <f t="shared" si="17"/>
        <v>3.1490862290862283</v>
      </c>
      <c r="M41" s="323">
        <f t="shared" si="17"/>
        <v>3.1490862290862283</v>
      </c>
      <c r="N41" s="323">
        <f t="shared" si="17"/>
        <v>3.4989846989846987</v>
      </c>
      <c r="O41" s="323">
        <f t="shared" si="17"/>
        <v>3.4989846989846987</v>
      </c>
      <c r="P41" s="323">
        <f t="shared" si="17"/>
        <v>3.4989846989846987</v>
      </c>
      <c r="Q41" s="323">
        <f t="shared" si="17"/>
        <v>3.4989846989846987</v>
      </c>
      <c r="R41" s="323">
        <f t="shared" si="17"/>
        <v>3.4989846989846987</v>
      </c>
      <c r="S41" s="323">
        <f t="shared" si="17"/>
        <v>3.4989846989846987</v>
      </c>
      <c r="T41" s="323">
        <f t="shared" si="17"/>
        <v>3.4989846989846987</v>
      </c>
      <c r="U41" s="323">
        <f t="shared" si="17"/>
        <v>3.4989846989846987</v>
      </c>
      <c r="V41" s="323">
        <f t="shared" si="17"/>
        <v>3.4989846989846987</v>
      </c>
      <c r="W41" s="323">
        <f t="shared" si="17"/>
        <v>3.4989846989846987</v>
      </c>
      <c r="X41" s="323">
        <f t="shared" si="17"/>
        <v>3.4989846989846987</v>
      </c>
      <c r="Y41" s="323">
        <f t="shared" si="17"/>
        <v>3.4989846989846987</v>
      </c>
      <c r="Z41" s="323">
        <f t="shared" si="17"/>
        <v>3.4989846989846987</v>
      </c>
      <c r="AA41" s="323">
        <f t="shared" si="17"/>
        <v>3.4989846989846987</v>
      </c>
      <c r="AB41" s="323">
        <f t="shared" si="17"/>
        <v>3.4989846989846987</v>
      </c>
      <c r="AC41" s="323">
        <f t="shared" si="17"/>
        <v>2.4492892892892888</v>
      </c>
      <c r="AD41" s="224"/>
      <c r="AE41" s="224"/>
    </row>
    <row r="42" spans="1:34" s="225" customFormat="1" ht="12.75" x14ac:dyDescent="0.2">
      <c r="A42" s="240" t="s">
        <v>126</v>
      </c>
      <c r="B42" s="323">
        <f t="shared" ref="B42:AC42" si="18">IF($B147&gt;=0.9, B$36,B$36*$B147)</f>
        <v>4.2251451451451434</v>
      </c>
      <c r="C42" s="323">
        <f t="shared" si="18"/>
        <v>4.2251451451451434</v>
      </c>
      <c r="D42" s="323">
        <f t="shared" si="18"/>
        <v>4.2251451451451434</v>
      </c>
      <c r="E42" s="323">
        <f t="shared" si="18"/>
        <v>4.2251451451451434</v>
      </c>
      <c r="F42" s="323">
        <f t="shared" si="18"/>
        <v>4.2251451451451434</v>
      </c>
      <c r="G42" s="323">
        <f t="shared" si="18"/>
        <v>4.2251451451451434</v>
      </c>
      <c r="H42" s="323">
        <f t="shared" si="18"/>
        <v>4.8287373087373071</v>
      </c>
      <c r="I42" s="323">
        <f t="shared" si="18"/>
        <v>4.8287373087373071</v>
      </c>
      <c r="J42" s="323">
        <f t="shared" si="18"/>
        <v>4.8287373087373071</v>
      </c>
      <c r="K42" s="323">
        <f t="shared" si="18"/>
        <v>5.4323294723294699</v>
      </c>
      <c r="L42" s="323">
        <f t="shared" si="18"/>
        <v>5.4323294723294699</v>
      </c>
      <c r="M42" s="323">
        <f t="shared" si="18"/>
        <v>5.4323294723294699</v>
      </c>
      <c r="N42" s="323">
        <f t="shared" si="18"/>
        <v>6.0359216359216346</v>
      </c>
      <c r="O42" s="323">
        <f t="shared" si="18"/>
        <v>6.0359216359216346</v>
      </c>
      <c r="P42" s="323">
        <f t="shared" si="18"/>
        <v>6.0359216359216346</v>
      </c>
      <c r="Q42" s="323">
        <f t="shared" si="18"/>
        <v>6.0359216359216346</v>
      </c>
      <c r="R42" s="323">
        <f t="shared" si="18"/>
        <v>6.0359216359216346</v>
      </c>
      <c r="S42" s="323">
        <f t="shared" si="18"/>
        <v>6.0359216359216346</v>
      </c>
      <c r="T42" s="323">
        <f t="shared" si="18"/>
        <v>6.0359216359216346</v>
      </c>
      <c r="U42" s="323">
        <f t="shared" si="18"/>
        <v>6.0359216359216346</v>
      </c>
      <c r="V42" s="323">
        <f t="shared" si="18"/>
        <v>6.0359216359216346</v>
      </c>
      <c r="W42" s="323">
        <f t="shared" si="18"/>
        <v>6.0359216359216346</v>
      </c>
      <c r="X42" s="323">
        <f t="shared" si="18"/>
        <v>6.0359216359216346</v>
      </c>
      <c r="Y42" s="323">
        <f t="shared" si="18"/>
        <v>6.0359216359216346</v>
      </c>
      <c r="Z42" s="323">
        <f t="shared" si="18"/>
        <v>6.0359216359216346</v>
      </c>
      <c r="AA42" s="323">
        <f t="shared" si="18"/>
        <v>6.0359216359216346</v>
      </c>
      <c r="AB42" s="323">
        <f t="shared" si="18"/>
        <v>6.0359216359216346</v>
      </c>
      <c r="AC42" s="323">
        <f t="shared" si="18"/>
        <v>4.2251451451451434</v>
      </c>
      <c r="AD42" s="224"/>
      <c r="AE42" s="224"/>
    </row>
    <row r="43" spans="1:34" s="225" customFormat="1" ht="12.75" x14ac:dyDescent="0.2">
      <c r="A43" s="240" t="s">
        <v>127</v>
      </c>
      <c r="B43" s="323">
        <f t="shared" ref="B43:AC43" si="19">IF($B148&gt;=0.9, B$36,B$36*$B148)</f>
        <v>4.2964964964964949</v>
      </c>
      <c r="C43" s="323">
        <f t="shared" si="19"/>
        <v>4.2964964964964949</v>
      </c>
      <c r="D43" s="323">
        <f t="shared" si="19"/>
        <v>4.2964964964964949</v>
      </c>
      <c r="E43" s="323">
        <f t="shared" si="19"/>
        <v>4.2964964964964949</v>
      </c>
      <c r="F43" s="323">
        <f t="shared" si="19"/>
        <v>4.2964964964964949</v>
      </c>
      <c r="G43" s="323">
        <f t="shared" si="19"/>
        <v>4.2964964964964949</v>
      </c>
      <c r="H43" s="323">
        <f t="shared" si="19"/>
        <v>4.9102817102817085</v>
      </c>
      <c r="I43" s="323">
        <f t="shared" si="19"/>
        <v>4.9102817102817085</v>
      </c>
      <c r="J43" s="323">
        <f t="shared" si="19"/>
        <v>4.9102817102817085</v>
      </c>
      <c r="K43" s="323">
        <f t="shared" si="19"/>
        <v>5.524066924066922</v>
      </c>
      <c r="L43" s="323">
        <f t="shared" si="19"/>
        <v>5.524066924066922</v>
      </c>
      <c r="M43" s="323">
        <f t="shared" si="19"/>
        <v>5.524066924066922</v>
      </c>
      <c r="N43" s="323">
        <f t="shared" si="19"/>
        <v>6.1378521378521356</v>
      </c>
      <c r="O43" s="323">
        <f t="shared" si="19"/>
        <v>6.1378521378521356</v>
      </c>
      <c r="P43" s="323">
        <f t="shared" si="19"/>
        <v>6.1378521378521356</v>
      </c>
      <c r="Q43" s="323">
        <f t="shared" si="19"/>
        <v>6.1378521378521356</v>
      </c>
      <c r="R43" s="323">
        <f t="shared" si="19"/>
        <v>6.1378521378521356</v>
      </c>
      <c r="S43" s="323">
        <f t="shared" si="19"/>
        <v>6.1378521378521356</v>
      </c>
      <c r="T43" s="323">
        <f t="shared" si="19"/>
        <v>6.1378521378521356</v>
      </c>
      <c r="U43" s="323">
        <f t="shared" si="19"/>
        <v>6.1378521378521356</v>
      </c>
      <c r="V43" s="323">
        <f t="shared" si="19"/>
        <v>6.1378521378521356</v>
      </c>
      <c r="W43" s="323">
        <f t="shared" si="19"/>
        <v>6.1378521378521356</v>
      </c>
      <c r="X43" s="323">
        <f t="shared" si="19"/>
        <v>6.1378521378521356</v>
      </c>
      <c r="Y43" s="323">
        <f t="shared" si="19"/>
        <v>6.1378521378521356</v>
      </c>
      <c r="Z43" s="323">
        <f t="shared" si="19"/>
        <v>6.1378521378521356</v>
      </c>
      <c r="AA43" s="323">
        <f t="shared" si="19"/>
        <v>6.1378521378521356</v>
      </c>
      <c r="AB43" s="323">
        <f t="shared" si="19"/>
        <v>6.1378521378521356</v>
      </c>
      <c r="AC43" s="323">
        <f t="shared" si="19"/>
        <v>4.2964964964964949</v>
      </c>
      <c r="AD43" s="224"/>
      <c r="AE43" s="224"/>
    </row>
    <row r="44" spans="1:34" s="225" customFormat="1" ht="12.75" x14ac:dyDescent="0.2">
      <c r="A44" s="240" t="s">
        <v>128</v>
      </c>
      <c r="B44" s="323">
        <f t="shared" ref="B44:AC44" si="20">IF($B149&gt;=0.9, B$36,B$36*$B149)</f>
        <v>4.2964964964964949</v>
      </c>
      <c r="C44" s="323">
        <f t="shared" si="20"/>
        <v>4.2964964964964949</v>
      </c>
      <c r="D44" s="323">
        <f t="shared" si="20"/>
        <v>4.2964964964964949</v>
      </c>
      <c r="E44" s="323">
        <f t="shared" si="20"/>
        <v>4.2964964964964949</v>
      </c>
      <c r="F44" s="323">
        <f t="shared" si="20"/>
        <v>4.2964964964964949</v>
      </c>
      <c r="G44" s="323">
        <f t="shared" si="20"/>
        <v>4.2964964964964949</v>
      </c>
      <c r="H44" s="323">
        <f t="shared" si="20"/>
        <v>4.9102817102817085</v>
      </c>
      <c r="I44" s="323">
        <f t="shared" si="20"/>
        <v>4.9102817102817085</v>
      </c>
      <c r="J44" s="323">
        <f t="shared" si="20"/>
        <v>4.9102817102817085</v>
      </c>
      <c r="K44" s="323">
        <f t="shared" si="20"/>
        <v>5.524066924066922</v>
      </c>
      <c r="L44" s="323">
        <f t="shared" si="20"/>
        <v>5.524066924066922</v>
      </c>
      <c r="M44" s="323">
        <f t="shared" si="20"/>
        <v>5.524066924066922</v>
      </c>
      <c r="N44" s="323">
        <f t="shared" si="20"/>
        <v>6.1378521378521356</v>
      </c>
      <c r="O44" s="323">
        <f t="shared" si="20"/>
        <v>6.1378521378521356</v>
      </c>
      <c r="P44" s="323">
        <f t="shared" si="20"/>
        <v>6.1378521378521356</v>
      </c>
      <c r="Q44" s="323">
        <f t="shared" si="20"/>
        <v>6.1378521378521356</v>
      </c>
      <c r="R44" s="323">
        <f t="shared" si="20"/>
        <v>6.1378521378521356</v>
      </c>
      <c r="S44" s="323">
        <f t="shared" si="20"/>
        <v>6.1378521378521356</v>
      </c>
      <c r="T44" s="323">
        <f t="shared" si="20"/>
        <v>6.1378521378521356</v>
      </c>
      <c r="U44" s="323">
        <f t="shared" si="20"/>
        <v>6.1378521378521356</v>
      </c>
      <c r="V44" s="323">
        <f t="shared" si="20"/>
        <v>6.1378521378521356</v>
      </c>
      <c r="W44" s="323">
        <f t="shared" si="20"/>
        <v>6.1378521378521356</v>
      </c>
      <c r="X44" s="323">
        <f t="shared" si="20"/>
        <v>6.1378521378521356</v>
      </c>
      <c r="Y44" s="323">
        <f t="shared" si="20"/>
        <v>6.1378521378521356</v>
      </c>
      <c r="Z44" s="323">
        <f t="shared" si="20"/>
        <v>6.1378521378521356</v>
      </c>
      <c r="AA44" s="323">
        <f t="shared" si="20"/>
        <v>6.1378521378521356</v>
      </c>
      <c r="AB44" s="323">
        <f t="shared" si="20"/>
        <v>6.1378521378521356</v>
      </c>
      <c r="AC44" s="323">
        <f t="shared" si="20"/>
        <v>4.2964964964964949</v>
      </c>
      <c r="AD44" s="224"/>
      <c r="AE44" s="224"/>
    </row>
    <row r="45" spans="1:34" s="225" customFormat="1" ht="12.75" x14ac:dyDescent="0.2">
      <c r="A45" s="240" t="s">
        <v>129</v>
      </c>
      <c r="B45" s="323">
        <f>IF(B$13="Deploy",B$36,IF($B150&gt;=0.9, B$36,B$36*$B150))</f>
        <v>2.1528728728728725</v>
      </c>
      <c r="C45" s="323">
        <f t="shared" ref="C45:AC45" si="21">IF(C$13="Deploy",C$36,IF($B150&gt;=0.9, C$36,C$36*$B150))</f>
        <v>2.1528728728728725</v>
      </c>
      <c r="D45" s="323">
        <f t="shared" si="21"/>
        <v>2.1528728728728725</v>
      </c>
      <c r="E45" s="323">
        <f t="shared" si="21"/>
        <v>2.1528728728728725</v>
      </c>
      <c r="F45" s="323">
        <f t="shared" si="21"/>
        <v>2.1528728728728725</v>
      </c>
      <c r="G45" s="323">
        <f t="shared" si="21"/>
        <v>2.1528728728728725</v>
      </c>
      <c r="H45" s="323">
        <f t="shared" si="21"/>
        <v>2.4604261404261401</v>
      </c>
      <c r="I45" s="323">
        <f t="shared" si="21"/>
        <v>2.4604261404261401</v>
      </c>
      <c r="J45" s="323">
        <f t="shared" si="21"/>
        <v>2.4604261404261401</v>
      </c>
      <c r="K45" s="323">
        <f t="shared" si="21"/>
        <v>2.7679794079794076</v>
      </c>
      <c r="L45" s="323">
        <f t="shared" si="21"/>
        <v>2.7679794079794076</v>
      </c>
      <c r="M45" s="323">
        <f t="shared" si="21"/>
        <v>2.7679794079794076</v>
      </c>
      <c r="N45" s="323">
        <f t="shared" si="21"/>
        <v>3.0755326755326751</v>
      </c>
      <c r="O45" s="323">
        <f t="shared" si="21"/>
        <v>3.0755326755326751</v>
      </c>
      <c r="P45" s="323">
        <f t="shared" si="21"/>
        <v>3.0755326755326751</v>
      </c>
      <c r="Q45" s="323">
        <f t="shared" si="21"/>
        <v>3.0755326755326751</v>
      </c>
      <c r="R45" s="323">
        <f t="shared" si="21"/>
        <v>8.8000000000000007</v>
      </c>
      <c r="S45" s="323">
        <f t="shared" si="21"/>
        <v>8.8000000000000007</v>
      </c>
      <c r="T45" s="323">
        <f t="shared" si="21"/>
        <v>8.8000000000000007</v>
      </c>
      <c r="U45" s="323">
        <f t="shared" si="21"/>
        <v>8.8000000000000007</v>
      </c>
      <c r="V45" s="323">
        <f t="shared" si="21"/>
        <v>8.8000000000000007</v>
      </c>
      <c r="W45" s="323">
        <f t="shared" si="21"/>
        <v>8.8000000000000007</v>
      </c>
      <c r="X45" s="323">
        <f t="shared" si="21"/>
        <v>3.0755326755326751</v>
      </c>
      <c r="Y45" s="323">
        <f t="shared" si="21"/>
        <v>3.0755326755326751</v>
      </c>
      <c r="Z45" s="323">
        <f t="shared" si="21"/>
        <v>3.0755326755326751</v>
      </c>
      <c r="AA45" s="323">
        <f t="shared" si="21"/>
        <v>3.0755326755326751</v>
      </c>
      <c r="AB45" s="323">
        <f t="shared" si="21"/>
        <v>3.0755326755326751</v>
      </c>
      <c r="AC45" s="323">
        <f t="shared" si="21"/>
        <v>2.1528728728728725</v>
      </c>
      <c r="AD45" s="224"/>
      <c r="AE45" s="224"/>
    </row>
    <row r="46" spans="1:34" s="225" customFormat="1" ht="12.75" x14ac:dyDescent="0.2">
      <c r="A46" s="240" t="s">
        <v>130</v>
      </c>
      <c r="B46" s="323">
        <f t="shared" ref="B46:AC46" si="22">IF($B151&gt;=0.9, B$36,B$36*$B151)</f>
        <v>4.5858658658658644</v>
      </c>
      <c r="C46" s="323">
        <f t="shared" si="22"/>
        <v>4.5858658658658644</v>
      </c>
      <c r="D46" s="323">
        <f t="shared" si="22"/>
        <v>4.5858658658658644</v>
      </c>
      <c r="E46" s="323">
        <f t="shared" si="22"/>
        <v>4.5858658658658644</v>
      </c>
      <c r="F46" s="323">
        <f t="shared" si="22"/>
        <v>4.5858658658658644</v>
      </c>
      <c r="G46" s="323">
        <f t="shared" si="22"/>
        <v>4.5858658658658644</v>
      </c>
      <c r="H46" s="323">
        <f t="shared" si="22"/>
        <v>5.2409895609895587</v>
      </c>
      <c r="I46" s="323">
        <f t="shared" si="22"/>
        <v>5.2409895609895587</v>
      </c>
      <c r="J46" s="323">
        <f t="shared" si="22"/>
        <v>5.2409895609895587</v>
      </c>
      <c r="K46" s="323">
        <f t="shared" si="22"/>
        <v>5.8961132561132539</v>
      </c>
      <c r="L46" s="323">
        <f t="shared" si="22"/>
        <v>5.8961132561132539</v>
      </c>
      <c r="M46" s="323">
        <f t="shared" si="22"/>
        <v>5.8961132561132539</v>
      </c>
      <c r="N46" s="323">
        <f t="shared" si="22"/>
        <v>6.551236951236949</v>
      </c>
      <c r="O46" s="323">
        <f t="shared" si="22"/>
        <v>6.551236951236949</v>
      </c>
      <c r="P46" s="323">
        <f t="shared" si="22"/>
        <v>6.551236951236949</v>
      </c>
      <c r="Q46" s="323">
        <f t="shared" si="22"/>
        <v>6.551236951236949</v>
      </c>
      <c r="R46" s="323">
        <f t="shared" si="22"/>
        <v>6.551236951236949</v>
      </c>
      <c r="S46" s="323">
        <f t="shared" si="22"/>
        <v>6.551236951236949</v>
      </c>
      <c r="T46" s="323">
        <f t="shared" si="22"/>
        <v>6.551236951236949</v>
      </c>
      <c r="U46" s="323">
        <f t="shared" si="22"/>
        <v>6.551236951236949</v>
      </c>
      <c r="V46" s="323">
        <f t="shared" si="22"/>
        <v>6.551236951236949</v>
      </c>
      <c r="W46" s="323">
        <f t="shared" si="22"/>
        <v>6.551236951236949</v>
      </c>
      <c r="X46" s="323">
        <f t="shared" si="22"/>
        <v>6.551236951236949</v>
      </c>
      <c r="Y46" s="323">
        <f t="shared" si="22"/>
        <v>6.551236951236949</v>
      </c>
      <c r="Z46" s="323">
        <f t="shared" si="22"/>
        <v>6.551236951236949</v>
      </c>
      <c r="AA46" s="323">
        <f t="shared" si="22"/>
        <v>6.551236951236949</v>
      </c>
      <c r="AB46" s="323">
        <f t="shared" si="22"/>
        <v>6.551236951236949</v>
      </c>
      <c r="AC46" s="323">
        <f t="shared" si="22"/>
        <v>4.5858658658658644</v>
      </c>
      <c r="AD46" s="224"/>
      <c r="AE46" s="224"/>
    </row>
    <row r="47" spans="1:34" s="225" customFormat="1" ht="12.75" x14ac:dyDescent="0.2">
      <c r="A47" s="240" t="s">
        <v>131</v>
      </c>
      <c r="B47" s="323">
        <f>IF(B$13="Deploy",B$36,IF($B152&gt;=0.9, B$36,B$36*$B152))</f>
        <v>2.0081881881881878</v>
      </c>
      <c r="C47" s="323">
        <f t="shared" ref="C47:AC47" si="23">IF(C$13="Deploy",C$36,IF($B152&gt;=0.9, C$36,C$36*$B152))</f>
        <v>2.0081881881881878</v>
      </c>
      <c r="D47" s="323">
        <f t="shared" si="23"/>
        <v>2.0081881881881878</v>
      </c>
      <c r="E47" s="323">
        <f t="shared" si="23"/>
        <v>2.0081881881881878</v>
      </c>
      <c r="F47" s="323">
        <f t="shared" si="23"/>
        <v>2.0081881881881878</v>
      </c>
      <c r="G47" s="323">
        <f t="shared" si="23"/>
        <v>2.0081881881881878</v>
      </c>
      <c r="H47" s="323">
        <f t="shared" si="23"/>
        <v>2.2950722150722145</v>
      </c>
      <c r="I47" s="323">
        <f t="shared" si="23"/>
        <v>2.2950722150722145</v>
      </c>
      <c r="J47" s="323">
        <f t="shared" si="23"/>
        <v>2.2950722150722145</v>
      </c>
      <c r="K47" s="323">
        <f t="shared" si="23"/>
        <v>2.5819562419562416</v>
      </c>
      <c r="L47" s="323">
        <f t="shared" si="23"/>
        <v>2.5819562419562416</v>
      </c>
      <c r="M47" s="323">
        <f t="shared" si="23"/>
        <v>2.5819562419562416</v>
      </c>
      <c r="N47" s="323">
        <f t="shared" si="23"/>
        <v>2.8688402688402683</v>
      </c>
      <c r="O47" s="323">
        <f t="shared" si="23"/>
        <v>2.8688402688402683</v>
      </c>
      <c r="P47" s="323">
        <f t="shared" si="23"/>
        <v>2.8688402688402683</v>
      </c>
      <c r="Q47" s="323">
        <f t="shared" si="23"/>
        <v>2.8688402688402683</v>
      </c>
      <c r="R47" s="323">
        <f t="shared" si="23"/>
        <v>8.8000000000000007</v>
      </c>
      <c r="S47" s="323">
        <f t="shared" si="23"/>
        <v>8.8000000000000007</v>
      </c>
      <c r="T47" s="323">
        <f t="shared" si="23"/>
        <v>8.8000000000000007</v>
      </c>
      <c r="U47" s="323">
        <f t="shared" si="23"/>
        <v>8.8000000000000007</v>
      </c>
      <c r="V47" s="323">
        <f t="shared" si="23"/>
        <v>8.8000000000000007</v>
      </c>
      <c r="W47" s="323">
        <f t="shared" si="23"/>
        <v>8.8000000000000007</v>
      </c>
      <c r="X47" s="323">
        <f t="shared" si="23"/>
        <v>2.8688402688402683</v>
      </c>
      <c r="Y47" s="323">
        <f t="shared" si="23"/>
        <v>2.8688402688402683</v>
      </c>
      <c r="Z47" s="323">
        <f t="shared" si="23"/>
        <v>2.8688402688402683</v>
      </c>
      <c r="AA47" s="323">
        <f t="shared" si="23"/>
        <v>2.8688402688402683</v>
      </c>
      <c r="AB47" s="323">
        <f t="shared" si="23"/>
        <v>2.8688402688402683</v>
      </c>
      <c r="AC47" s="323">
        <f t="shared" si="23"/>
        <v>2.0081881881881878</v>
      </c>
      <c r="AD47" s="224"/>
      <c r="AE47" s="224"/>
    </row>
    <row r="48" spans="1:34" s="225" customFormat="1" ht="12.75" x14ac:dyDescent="0.2">
      <c r="A48" s="240" t="s">
        <v>132</v>
      </c>
      <c r="B48" s="323">
        <f t="shared" ref="B48:AC48" si="24">IF($B153&gt;=0.9, B$36,B$36*$B153)</f>
        <v>6.16</v>
      </c>
      <c r="C48" s="323">
        <f t="shared" si="24"/>
        <v>6.16</v>
      </c>
      <c r="D48" s="323">
        <f t="shared" si="24"/>
        <v>6.16</v>
      </c>
      <c r="E48" s="323">
        <f t="shared" si="24"/>
        <v>6.16</v>
      </c>
      <c r="F48" s="323">
        <f t="shared" si="24"/>
        <v>6.16</v>
      </c>
      <c r="G48" s="323">
        <f t="shared" si="24"/>
        <v>6.16</v>
      </c>
      <c r="H48" s="323">
        <f t="shared" si="24"/>
        <v>7.04</v>
      </c>
      <c r="I48" s="323">
        <f t="shared" si="24"/>
        <v>7.04</v>
      </c>
      <c r="J48" s="323">
        <f t="shared" si="24"/>
        <v>7.04</v>
      </c>
      <c r="K48" s="323">
        <f t="shared" si="24"/>
        <v>7.92</v>
      </c>
      <c r="L48" s="323">
        <f t="shared" si="24"/>
        <v>7.92</v>
      </c>
      <c r="M48" s="323">
        <f t="shared" si="24"/>
        <v>7.92</v>
      </c>
      <c r="N48" s="323">
        <f t="shared" si="24"/>
        <v>8.8000000000000007</v>
      </c>
      <c r="O48" s="323">
        <f t="shared" si="24"/>
        <v>8.8000000000000007</v>
      </c>
      <c r="P48" s="323">
        <f t="shared" si="24"/>
        <v>8.8000000000000007</v>
      </c>
      <c r="Q48" s="323">
        <f t="shared" si="24"/>
        <v>8.8000000000000007</v>
      </c>
      <c r="R48" s="323">
        <f t="shared" si="24"/>
        <v>8.8000000000000007</v>
      </c>
      <c r="S48" s="323">
        <f t="shared" si="24"/>
        <v>8.8000000000000007</v>
      </c>
      <c r="T48" s="323">
        <f t="shared" si="24"/>
        <v>8.8000000000000007</v>
      </c>
      <c r="U48" s="323">
        <f t="shared" si="24"/>
        <v>8.8000000000000007</v>
      </c>
      <c r="V48" s="323">
        <f t="shared" si="24"/>
        <v>8.8000000000000007</v>
      </c>
      <c r="W48" s="323">
        <f t="shared" si="24"/>
        <v>8.8000000000000007</v>
      </c>
      <c r="X48" s="323">
        <f t="shared" si="24"/>
        <v>8.8000000000000007</v>
      </c>
      <c r="Y48" s="323">
        <f t="shared" si="24"/>
        <v>8.8000000000000007</v>
      </c>
      <c r="Z48" s="323">
        <f t="shared" si="24"/>
        <v>8.8000000000000007</v>
      </c>
      <c r="AA48" s="323">
        <f t="shared" si="24"/>
        <v>8.8000000000000007</v>
      </c>
      <c r="AB48" s="323">
        <f t="shared" si="24"/>
        <v>8.8000000000000007</v>
      </c>
      <c r="AC48" s="323">
        <f t="shared" si="24"/>
        <v>6.16</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296" t="s">
        <v>134</v>
      </c>
      <c r="B50" s="134">
        <v>5</v>
      </c>
      <c r="C50" s="134">
        <v>5</v>
      </c>
      <c r="D50" s="134">
        <v>5</v>
      </c>
      <c r="E50" s="134">
        <v>5</v>
      </c>
      <c r="F50" s="134">
        <v>5</v>
      </c>
      <c r="G50" s="134">
        <v>5</v>
      </c>
      <c r="H50" s="134">
        <v>6</v>
      </c>
      <c r="I50" s="134">
        <v>6</v>
      </c>
      <c r="J50" s="134">
        <v>6</v>
      </c>
      <c r="K50" s="134">
        <v>7</v>
      </c>
      <c r="L50" s="134">
        <v>7</v>
      </c>
      <c r="M50" s="134">
        <v>7</v>
      </c>
      <c r="N50" s="134">
        <v>8</v>
      </c>
      <c r="O50" s="134">
        <v>8</v>
      </c>
      <c r="P50" s="134">
        <v>8</v>
      </c>
      <c r="Q50" s="134">
        <v>8</v>
      </c>
      <c r="R50" s="134">
        <v>8</v>
      </c>
      <c r="S50" s="134">
        <v>8</v>
      </c>
      <c r="T50" s="134">
        <v>8</v>
      </c>
      <c r="U50" s="134">
        <v>8</v>
      </c>
      <c r="V50" s="134">
        <v>8</v>
      </c>
      <c r="W50" s="134">
        <v>8</v>
      </c>
      <c r="X50" s="134">
        <v>8</v>
      </c>
      <c r="Y50" s="134">
        <v>8</v>
      </c>
      <c r="Z50" s="134">
        <v>8</v>
      </c>
      <c r="AA50" s="134">
        <v>8</v>
      </c>
      <c r="AB50" s="355">
        <v>8</v>
      </c>
      <c r="AC50" s="67">
        <v>5</v>
      </c>
      <c r="AD50" s="38"/>
      <c r="AE50" s="38"/>
      <c r="AF50" s="38"/>
      <c r="AG50" s="38"/>
      <c r="AH50" s="38"/>
    </row>
    <row r="51" spans="1:34" x14ac:dyDescent="0.2">
      <c r="A51" s="88" t="s">
        <v>135</v>
      </c>
      <c r="B51" s="134">
        <f t="shared" ref="B51:AC51" si="25">ROUND(1*B50,2)</f>
        <v>5</v>
      </c>
      <c r="C51" s="134">
        <f t="shared" si="25"/>
        <v>5</v>
      </c>
      <c r="D51" s="134">
        <f t="shared" si="25"/>
        <v>5</v>
      </c>
      <c r="E51" s="134">
        <f t="shared" si="25"/>
        <v>5</v>
      </c>
      <c r="F51" s="134">
        <f t="shared" si="25"/>
        <v>5</v>
      </c>
      <c r="G51" s="134">
        <f t="shared" si="25"/>
        <v>5</v>
      </c>
      <c r="H51" s="134">
        <f t="shared" si="25"/>
        <v>6</v>
      </c>
      <c r="I51" s="134">
        <f t="shared" si="25"/>
        <v>6</v>
      </c>
      <c r="J51" s="134">
        <f t="shared" si="25"/>
        <v>6</v>
      </c>
      <c r="K51" s="134">
        <f t="shared" si="25"/>
        <v>7</v>
      </c>
      <c r="L51" s="134">
        <f t="shared" si="25"/>
        <v>7</v>
      </c>
      <c r="M51" s="134">
        <f t="shared" si="25"/>
        <v>7</v>
      </c>
      <c r="N51" s="134">
        <f t="shared" si="25"/>
        <v>8</v>
      </c>
      <c r="O51" s="134">
        <f t="shared" si="25"/>
        <v>8</v>
      </c>
      <c r="P51" s="134">
        <f t="shared" si="25"/>
        <v>8</v>
      </c>
      <c r="Q51" s="134">
        <f t="shared" si="25"/>
        <v>8</v>
      </c>
      <c r="R51" s="134">
        <f t="shared" si="25"/>
        <v>8</v>
      </c>
      <c r="S51" s="134">
        <f t="shared" si="25"/>
        <v>8</v>
      </c>
      <c r="T51" s="134">
        <f t="shared" si="25"/>
        <v>8</v>
      </c>
      <c r="U51" s="134">
        <f t="shared" si="25"/>
        <v>8</v>
      </c>
      <c r="V51" s="134">
        <f t="shared" si="25"/>
        <v>8</v>
      </c>
      <c r="W51" s="134">
        <f t="shared" si="25"/>
        <v>8</v>
      </c>
      <c r="X51" s="134">
        <f t="shared" si="25"/>
        <v>8</v>
      </c>
      <c r="Y51" s="134">
        <f t="shared" si="25"/>
        <v>8</v>
      </c>
      <c r="Z51" s="134">
        <f t="shared" si="25"/>
        <v>8</v>
      </c>
      <c r="AA51" s="134">
        <f t="shared" si="25"/>
        <v>8</v>
      </c>
      <c r="AB51" s="355">
        <f t="shared" si="25"/>
        <v>8</v>
      </c>
      <c r="AC51" s="67">
        <f t="shared" si="25"/>
        <v>5</v>
      </c>
      <c r="AF51" s="14"/>
      <c r="AG51" s="14"/>
      <c r="AH51" s="14"/>
    </row>
    <row r="52" spans="1:34" s="30" customFormat="1" x14ac:dyDescent="0.2">
      <c r="A52" s="89" t="s">
        <v>136</v>
      </c>
      <c r="B52" s="91">
        <v>4</v>
      </c>
      <c r="C52" s="91">
        <v>4</v>
      </c>
      <c r="D52" s="91">
        <v>4</v>
      </c>
      <c r="E52" s="91">
        <v>4</v>
      </c>
      <c r="F52" s="91">
        <v>4</v>
      </c>
      <c r="G52" s="91">
        <v>4</v>
      </c>
      <c r="H52" s="91">
        <v>4</v>
      </c>
      <c r="I52" s="91">
        <v>5</v>
      </c>
      <c r="J52" s="91">
        <v>5</v>
      </c>
      <c r="K52" s="91">
        <v>5</v>
      </c>
      <c r="L52" s="91">
        <v>5</v>
      </c>
      <c r="M52" s="91">
        <v>5</v>
      </c>
      <c r="N52" s="91">
        <v>5</v>
      </c>
      <c r="O52" s="91">
        <v>5</v>
      </c>
      <c r="P52" s="91">
        <v>5</v>
      </c>
      <c r="Q52" s="91">
        <v>5</v>
      </c>
      <c r="R52" s="91">
        <v>5</v>
      </c>
      <c r="S52" s="91">
        <v>5</v>
      </c>
      <c r="T52" s="91">
        <v>5</v>
      </c>
      <c r="U52" s="91">
        <v>5</v>
      </c>
      <c r="V52" s="91">
        <v>5</v>
      </c>
      <c r="W52" s="91">
        <v>5</v>
      </c>
      <c r="X52" s="91">
        <v>5</v>
      </c>
      <c r="Y52" s="91">
        <v>5</v>
      </c>
      <c r="Z52" s="91">
        <v>5</v>
      </c>
      <c r="AA52" s="91">
        <v>5</v>
      </c>
      <c r="AB52" s="347">
        <v>5</v>
      </c>
      <c r="AC52" s="91">
        <v>5</v>
      </c>
      <c r="AF52" s="14"/>
      <c r="AG52" s="14"/>
      <c r="AH52" s="14"/>
    </row>
    <row r="53" spans="1:34" s="30" customFormat="1" x14ac:dyDescent="0.2">
      <c r="A53" s="89" t="s">
        <v>137</v>
      </c>
      <c r="B53" s="87">
        <v>3</v>
      </c>
      <c r="C53" s="87">
        <v>3</v>
      </c>
      <c r="D53" s="87">
        <v>3</v>
      </c>
      <c r="E53" s="87">
        <v>3</v>
      </c>
      <c r="F53" s="87">
        <v>3</v>
      </c>
      <c r="G53" s="87">
        <v>3</v>
      </c>
      <c r="H53" s="87">
        <v>3</v>
      </c>
      <c r="I53" s="87">
        <v>3.75</v>
      </c>
      <c r="J53" s="87">
        <v>3.75</v>
      </c>
      <c r="K53" s="87">
        <v>3.75</v>
      </c>
      <c r="L53" s="87">
        <v>3.75</v>
      </c>
      <c r="M53" s="87">
        <v>3.75</v>
      </c>
      <c r="N53" s="87">
        <v>3.75</v>
      </c>
      <c r="O53" s="87">
        <v>3.75</v>
      </c>
      <c r="P53" s="87">
        <v>3.75</v>
      </c>
      <c r="Q53" s="87">
        <v>3.75</v>
      </c>
      <c r="R53" s="87">
        <v>3.75</v>
      </c>
      <c r="S53" s="87">
        <v>3.75</v>
      </c>
      <c r="T53" s="87">
        <v>3.75</v>
      </c>
      <c r="U53" s="87">
        <v>3.75</v>
      </c>
      <c r="V53" s="87">
        <v>3.75</v>
      </c>
      <c r="W53" s="87">
        <v>3.75</v>
      </c>
      <c r="X53" s="87">
        <v>3.75</v>
      </c>
      <c r="Y53" s="87">
        <v>3.75</v>
      </c>
      <c r="Z53" s="87">
        <v>3.75</v>
      </c>
      <c r="AA53" s="87">
        <v>3.75</v>
      </c>
      <c r="AB53" s="348">
        <v>3.75</v>
      </c>
      <c r="AC53" s="87">
        <v>3.75</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17</v>
      </c>
      <c r="C55" s="41">
        <f t="shared" si="26"/>
        <v>17</v>
      </c>
      <c r="D55" s="41">
        <f t="shared" si="26"/>
        <v>17</v>
      </c>
      <c r="E55" s="41">
        <f t="shared" si="26"/>
        <v>17</v>
      </c>
      <c r="F55" s="41">
        <f t="shared" si="26"/>
        <v>17</v>
      </c>
      <c r="G55" s="41">
        <f t="shared" si="26"/>
        <v>17</v>
      </c>
      <c r="H55" s="41">
        <f t="shared" si="26"/>
        <v>17</v>
      </c>
      <c r="I55" s="41">
        <f t="shared" si="26"/>
        <v>17</v>
      </c>
      <c r="J55" s="41">
        <f t="shared" si="26"/>
        <v>17</v>
      </c>
      <c r="K55" s="41">
        <f t="shared" si="26"/>
        <v>17</v>
      </c>
      <c r="L55" s="41">
        <f t="shared" si="26"/>
        <v>17</v>
      </c>
      <c r="M55" s="41">
        <f t="shared" si="26"/>
        <v>17</v>
      </c>
      <c r="N55" s="41">
        <f t="shared" si="26"/>
        <v>17</v>
      </c>
      <c r="O55" s="41">
        <f t="shared" si="26"/>
        <v>17</v>
      </c>
      <c r="P55" s="41">
        <f t="shared" si="26"/>
        <v>17</v>
      </c>
      <c r="Q55" s="41">
        <f t="shared" si="26"/>
        <v>17</v>
      </c>
      <c r="R55" s="41">
        <f t="shared" si="26"/>
        <v>17</v>
      </c>
      <c r="S55" s="41">
        <f t="shared" si="26"/>
        <v>17</v>
      </c>
      <c r="T55" s="41">
        <f t="shared" si="26"/>
        <v>17</v>
      </c>
      <c r="U55" s="41">
        <f t="shared" si="26"/>
        <v>17</v>
      </c>
      <c r="V55" s="41">
        <f t="shared" si="26"/>
        <v>17</v>
      </c>
      <c r="W55" s="41">
        <f t="shared" si="26"/>
        <v>17</v>
      </c>
      <c r="X55" s="41">
        <f t="shared" si="26"/>
        <v>17</v>
      </c>
      <c r="Y55" s="41">
        <f t="shared" si="26"/>
        <v>17</v>
      </c>
      <c r="Z55" s="41">
        <f t="shared" si="26"/>
        <v>17</v>
      </c>
      <c r="AA55" s="41">
        <f t="shared" si="26"/>
        <v>17</v>
      </c>
      <c r="AB55" s="349">
        <f t="shared" si="26"/>
        <v>17</v>
      </c>
      <c r="AC55" s="112">
        <f t="shared" si="26"/>
        <v>17</v>
      </c>
    </row>
    <row r="56" spans="1:34" x14ac:dyDescent="0.2">
      <c r="A56" s="42" t="s">
        <v>140</v>
      </c>
      <c r="B56" s="43">
        <f t="shared" ref="B56:AC56" si="27">ROUNDUP(IF(B$13="Deploy",MAX((B$89/100)*$B96,$B96),(B$89/100)*$B96),0)</f>
        <v>7</v>
      </c>
      <c r="C56" s="43">
        <f t="shared" si="27"/>
        <v>7</v>
      </c>
      <c r="D56" s="43">
        <f t="shared" si="27"/>
        <v>7</v>
      </c>
      <c r="E56" s="43">
        <f t="shared" si="27"/>
        <v>7</v>
      </c>
      <c r="F56" s="43">
        <f t="shared" si="27"/>
        <v>7</v>
      </c>
      <c r="G56" s="43">
        <f t="shared" si="27"/>
        <v>7</v>
      </c>
      <c r="H56" s="43">
        <f t="shared" si="27"/>
        <v>8</v>
      </c>
      <c r="I56" s="43">
        <f t="shared" si="27"/>
        <v>10</v>
      </c>
      <c r="J56" s="43">
        <f t="shared" si="27"/>
        <v>11</v>
      </c>
      <c r="K56" s="43">
        <f t="shared" si="27"/>
        <v>11</v>
      </c>
      <c r="L56" s="43">
        <f t="shared" si="27"/>
        <v>13</v>
      </c>
      <c r="M56" s="43">
        <f t="shared" si="27"/>
        <v>15</v>
      </c>
      <c r="N56" s="43">
        <f t="shared" si="27"/>
        <v>15</v>
      </c>
      <c r="O56" s="43">
        <f t="shared" si="27"/>
        <v>15</v>
      </c>
      <c r="P56" s="43">
        <f t="shared" si="27"/>
        <v>15</v>
      </c>
      <c r="Q56" s="43">
        <f t="shared" si="27"/>
        <v>15</v>
      </c>
      <c r="R56" s="43">
        <f t="shared" si="27"/>
        <v>17</v>
      </c>
      <c r="S56" s="43">
        <f t="shared" si="27"/>
        <v>17</v>
      </c>
      <c r="T56" s="43">
        <f t="shared" si="27"/>
        <v>17</v>
      </c>
      <c r="U56" s="43">
        <f t="shared" si="27"/>
        <v>17</v>
      </c>
      <c r="V56" s="43">
        <f t="shared" si="27"/>
        <v>17</v>
      </c>
      <c r="W56" s="43">
        <f t="shared" si="27"/>
        <v>17</v>
      </c>
      <c r="X56" s="43">
        <f t="shared" si="27"/>
        <v>16</v>
      </c>
      <c r="Y56" s="43">
        <f t="shared" si="27"/>
        <v>16</v>
      </c>
      <c r="Z56" s="43">
        <f t="shared" si="27"/>
        <v>15</v>
      </c>
      <c r="AA56" s="43">
        <f t="shared" si="27"/>
        <v>15</v>
      </c>
      <c r="AB56" s="350">
        <f t="shared" si="27"/>
        <v>14</v>
      </c>
      <c r="AC56" s="43">
        <f t="shared" si="27"/>
        <v>7</v>
      </c>
    </row>
    <row r="57" spans="1:34" x14ac:dyDescent="0.2">
      <c r="A57" s="66" t="s">
        <v>141</v>
      </c>
      <c r="B57" s="69">
        <f>B55</f>
        <v>17</v>
      </c>
      <c r="C57" s="69">
        <f t="shared" ref="C57:AB58" si="28">C55</f>
        <v>17</v>
      </c>
      <c r="D57" s="69">
        <f t="shared" si="28"/>
        <v>17</v>
      </c>
      <c r="E57" s="69">
        <f t="shared" si="28"/>
        <v>17</v>
      </c>
      <c r="F57" s="69">
        <f t="shared" si="28"/>
        <v>17</v>
      </c>
      <c r="G57" s="69">
        <f t="shared" si="28"/>
        <v>17</v>
      </c>
      <c r="H57" s="69">
        <f t="shared" si="28"/>
        <v>17</v>
      </c>
      <c r="I57" s="69">
        <f t="shared" si="28"/>
        <v>17</v>
      </c>
      <c r="J57" s="69">
        <f t="shared" si="28"/>
        <v>17</v>
      </c>
      <c r="K57" s="69">
        <f t="shared" si="28"/>
        <v>17</v>
      </c>
      <c r="L57" s="69">
        <f t="shared" si="28"/>
        <v>17</v>
      </c>
      <c r="M57" s="69">
        <f t="shared" si="28"/>
        <v>17</v>
      </c>
      <c r="N57" s="69">
        <f t="shared" si="28"/>
        <v>17</v>
      </c>
      <c r="O57" s="69">
        <f t="shared" si="28"/>
        <v>17</v>
      </c>
      <c r="P57" s="69">
        <f t="shared" si="28"/>
        <v>17</v>
      </c>
      <c r="Q57" s="69">
        <f t="shared" si="28"/>
        <v>17</v>
      </c>
      <c r="R57" s="69">
        <f t="shared" si="28"/>
        <v>17</v>
      </c>
      <c r="S57" s="69">
        <f t="shared" si="28"/>
        <v>17</v>
      </c>
      <c r="T57" s="69">
        <f t="shared" si="28"/>
        <v>17</v>
      </c>
      <c r="U57" s="69">
        <f t="shared" si="28"/>
        <v>17</v>
      </c>
      <c r="V57" s="69">
        <f t="shared" si="28"/>
        <v>17</v>
      </c>
      <c r="W57" s="69">
        <f t="shared" si="28"/>
        <v>17</v>
      </c>
      <c r="X57" s="69">
        <f t="shared" si="28"/>
        <v>17</v>
      </c>
      <c r="Y57" s="69">
        <f t="shared" si="28"/>
        <v>17</v>
      </c>
      <c r="Z57" s="69">
        <f t="shared" si="28"/>
        <v>17</v>
      </c>
      <c r="AA57" s="69">
        <f t="shared" si="28"/>
        <v>17</v>
      </c>
      <c r="AB57" s="351">
        <f t="shared" si="28"/>
        <v>17</v>
      </c>
      <c r="AC57" s="69">
        <f>AC55</f>
        <v>17</v>
      </c>
    </row>
    <row r="58" spans="1:34" x14ac:dyDescent="0.2">
      <c r="A58" s="78" t="s">
        <v>142</v>
      </c>
      <c r="B58" s="79">
        <f>C58</f>
        <v>7</v>
      </c>
      <c r="C58" s="79">
        <f>D58</f>
        <v>7</v>
      </c>
      <c r="D58" s="79">
        <f t="shared" si="28"/>
        <v>7</v>
      </c>
      <c r="E58" s="79">
        <f t="shared" si="28"/>
        <v>7</v>
      </c>
      <c r="F58" s="79">
        <f t="shared" si="28"/>
        <v>7</v>
      </c>
      <c r="G58" s="79">
        <f t="shared" si="28"/>
        <v>7</v>
      </c>
      <c r="H58" s="79">
        <f t="shared" si="28"/>
        <v>8</v>
      </c>
      <c r="I58" s="79">
        <f t="shared" si="28"/>
        <v>10</v>
      </c>
      <c r="J58" s="79">
        <f t="shared" si="28"/>
        <v>11</v>
      </c>
      <c r="K58" s="79">
        <f t="shared" si="28"/>
        <v>11</v>
      </c>
      <c r="L58" s="79">
        <f t="shared" si="28"/>
        <v>13</v>
      </c>
      <c r="M58" s="79">
        <f t="shared" si="28"/>
        <v>15</v>
      </c>
      <c r="N58" s="79">
        <f t="shared" si="28"/>
        <v>15</v>
      </c>
      <c r="O58" s="79">
        <f t="shared" si="28"/>
        <v>15</v>
      </c>
      <c r="P58" s="79">
        <f t="shared" si="28"/>
        <v>15</v>
      </c>
      <c r="Q58" s="79">
        <f t="shared" si="28"/>
        <v>15</v>
      </c>
      <c r="R58" s="79">
        <f t="shared" si="28"/>
        <v>17</v>
      </c>
      <c r="S58" s="79">
        <f t="shared" si="28"/>
        <v>17</v>
      </c>
      <c r="T58" s="79">
        <f t="shared" si="28"/>
        <v>17</v>
      </c>
      <c r="U58" s="79">
        <f t="shared" si="28"/>
        <v>17</v>
      </c>
      <c r="V58" s="79">
        <f t="shared" si="28"/>
        <v>17</v>
      </c>
      <c r="W58" s="79">
        <f t="shared" si="28"/>
        <v>17</v>
      </c>
      <c r="X58" s="79">
        <f t="shared" si="28"/>
        <v>16</v>
      </c>
      <c r="Y58" s="79">
        <f t="shared" si="28"/>
        <v>16</v>
      </c>
      <c r="Z58" s="79">
        <f t="shared" si="28"/>
        <v>15</v>
      </c>
      <c r="AA58" s="79">
        <f t="shared" si="28"/>
        <v>15</v>
      </c>
      <c r="AB58" s="352">
        <f t="shared" si="28"/>
        <v>14</v>
      </c>
      <c r="AC58" s="79">
        <f>AC56</f>
        <v>7</v>
      </c>
    </row>
    <row r="59" spans="1:34" x14ac:dyDescent="0.2">
      <c r="A59" s="42" t="str">
        <f>A99</f>
        <v>&gt; L4 Pilots</v>
      </c>
      <c r="B59" s="197">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73" si="30">A100</f>
        <v>&gt; L3 Pilots</v>
      </c>
      <c r="B60" s="197">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197">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197">
        <f t="shared" ref="B62:AC62" si="33">ROUNDUP(IF(B$13="Deploy",MAX((B$89/100)*$B102,$B102),(B$89/100)*$B102),0)</f>
        <v>7</v>
      </c>
      <c r="C62" s="43">
        <f t="shared" si="33"/>
        <v>7</v>
      </c>
      <c r="D62" s="43">
        <f t="shared" si="33"/>
        <v>7</v>
      </c>
      <c r="E62" s="43">
        <f t="shared" si="33"/>
        <v>7</v>
      </c>
      <c r="F62" s="43">
        <f t="shared" si="33"/>
        <v>7</v>
      </c>
      <c r="G62" s="43">
        <f t="shared" si="33"/>
        <v>7</v>
      </c>
      <c r="H62" s="43">
        <f t="shared" si="33"/>
        <v>8</v>
      </c>
      <c r="I62" s="43">
        <f t="shared" si="33"/>
        <v>10</v>
      </c>
      <c r="J62" s="43">
        <f t="shared" si="33"/>
        <v>11</v>
      </c>
      <c r="K62" s="43">
        <f t="shared" si="33"/>
        <v>11</v>
      </c>
      <c r="L62" s="43">
        <f t="shared" si="33"/>
        <v>13</v>
      </c>
      <c r="M62" s="43">
        <f t="shared" si="33"/>
        <v>15</v>
      </c>
      <c r="N62" s="43">
        <f t="shared" si="33"/>
        <v>15</v>
      </c>
      <c r="O62" s="43">
        <f t="shared" si="33"/>
        <v>15</v>
      </c>
      <c r="P62" s="43">
        <f t="shared" si="33"/>
        <v>15</v>
      </c>
      <c r="Q62" s="43">
        <f t="shared" si="33"/>
        <v>15</v>
      </c>
      <c r="R62" s="43">
        <f t="shared" si="33"/>
        <v>17</v>
      </c>
      <c r="S62" s="43">
        <f t="shared" si="33"/>
        <v>17</v>
      </c>
      <c r="T62" s="43">
        <f t="shared" si="33"/>
        <v>17</v>
      </c>
      <c r="U62" s="43">
        <f t="shared" si="33"/>
        <v>17</v>
      </c>
      <c r="V62" s="43">
        <f t="shared" si="33"/>
        <v>17</v>
      </c>
      <c r="W62" s="43">
        <f t="shared" si="33"/>
        <v>17</v>
      </c>
      <c r="X62" s="43">
        <f t="shared" si="33"/>
        <v>16</v>
      </c>
      <c r="Y62" s="43">
        <f t="shared" si="33"/>
        <v>16</v>
      </c>
      <c r="Z62" s="43">
        <f t="shared" si="33"/>
        <v>15</v>
      </c>
      <c r="AA62" s="43">
        <f t="shared" si="33"/>
        <v>15</v>
      </c>
      <c r="AB62" s="350">
        <f t="shared" si="33"/>
        <v>14</v>
      </c>
      <c r="AC62" s="43">
        <f t="shared" si="33"/>
        <v>7</v>
      </c>
    </row>
    <row r="63" spans="1:34" s="21" customFormat="1" x14ac:dyDescent="0.2">
      <c r="A63" s="42" t="str">
        <f t="shared" si="30"/>
        <v>&gt; L4 WSO</v>
      </c>
      <c r="B63" s="197">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197">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197">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197">
        <f t="shared" ref="B66:AC66" si="37">ROUNDUP(IF(B$13="Deploy",MAX((B$89/100)*$B106,$B106),(B$89/100)*$B106),0)</f>
        <v>7</v>
      </c>
      <c r="C66" s="43">
        <f t="shared" si="37"/>
        <v>7</v>
      </c>
      <c r="D66" s="43">
        <f t="shared" si="37"/>
        <v>7</v>
      </c>
      <c r="E66" s="43">
        <f t="shared" si="37"/>
        <v>7</v>
      </c>
      <c r="F66" s="43">
        <f t="shared" si="37"/>
        <v>7</v>
      </c>
      <c r="G66" s="43">
        <f t="shared" si="37"/>
        <v>7</v>
      </c>
      <c r="H66" s="43">
        <f t="shared" si="37"/>
        <v>8</v>
      </c>
      <c r="I66" s="43">
        <f t="shared" si="37"/>
        <v>10</v>
      </c>
      <c r="J66" s="43">
        <f t="shared" si="37"/>
        <v>11</v>
      </c>
      <c r="K66" s="43">
        <f t="shared" si="37"/>
        <v>11</v>
      </c>
      <c r="L66" s="43">
        <f t="shared" si="37"/>
        <v>13</v>
      </c>
      <c r="M66" s="43">
        <f t="shared" si="37"/>
        <v>15</v>
      </c>
      <c r="N66" s="43">
        <f t="shared" si="37"/>
        <v>15</v>
      </c>
      <c r="O66" s="43">
        <f t="shared" si="37"/>
        <v>15</v>
      </c>
      <c r="P66" s="43">
        <f t="shared" si="37"/>
        <v>15</v>
      </c>
      <c r="Q66" s="43">
        <f t="shared" si="37"/>
        <v>15</v>
      </c>
      <c r="R66" s="43">
        <f t="shared" si="37"/>
        <v>17</v>
      </c>
      <c r="S66" s="43">
        <f t="shared" si="37"/>
        <v>17</v>
      </c>
      <c r="T66" s="43">
        <f t="shared" si="37"/>
        <v>17</v>
      </c>
      <c r="U66" s="43">
        <f t="shared" si="37"/>
        <v>17</v>
      </c>
      <c r="V66" s="43">
        <f t="shared" si="37"/>
        <v>17</v>
      </c>
      <c r="W66" s="43">
        <f t="shared" si="37"/>
        <v>17</v>
      </c>
      <c r="X66" s="43">
        <f t="shared" si="37"/>
        <v>16</v>
      </c>
      <c r="Y66" s="43">
        <f t="shared" si="37"/>
        <v>16</v>
      </c>
      <c r="Z66" s="43">
        <f t="shared" si="37"/>
        <v>15</v>
      </c>
      <c r="AA66" s="43">
        <f t="shared" si="37"/>
        <v>15</v>
      </c>
      <c r="AB66" s="350">
        <f t="shared" si="37"/>
        <v>14</v>
      </c>
      <c r="AC66" s="43">
        <f t="shared" si="37"/>
        <v>7</v>
      </c>
    </row>
    <row r="67" spans="1:47" s="21" customFormat="1" x14ac:dyDescent="0.2">
      <c r="A67" s="42" t="str">
        <f t="shared" si="30"/>
        <v>NVG Qual - Pilot</v>
      </c>
      <c r="B67" s="197">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21" customFormat="1" x14ac:dyDescent="0.2">
      <c r="A68" s="42" t="str">
        <f t="shared" si="30"/>
        <v>NVG Qual - WSO</v>
      </c>
      <c r="B68" s="197">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21" customFormat="1" x14ac:dyDescent="0.2">
      <c r="A69" s="42" t="str">
        <f t="shared" si="30"/>
        <v>JHMCS Qual - Pilot</v>
      </c>
      <c r="B69" s="197">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21" customFormat="1" x14ac:dyDescent="0.2">
      <c r="A70" s="42" t="str">
        <f t="shared" si="30"/>
        <v>JMPS SME</v>
      </c>
      <c r="B70" s="197">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21" customFormat="1" x14ac:dyDescent="0.2">
      <c r="A71" s="42" t="str">
        <f t="shared" si="30"/>
        <v xml:space="preserve">CVW STK LEAD </v>
      </c>
      <c r="B71" s="197">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21" customFormat="1" x14ac:dyDescent="0.2">
      <c r="A72" s="42" t="str">
        <f t="shared" si="30"/>
        <v>FAC(A) - Pilot</v>
      </c>
      <c r="B72" s="197">
        <f t="shared" ref="B72:AB72" si="43">ROUNDUP(IF(B$13="Deploy",MAX((B$89/100)*$B112,$B112),(B$89/100)*$B112),0)</f>
        <v>2</v>
      </c>
      <c r="C72" s="43">
        <f t="shared" si="43"/>
        <v>2</v>
      </c>
      <c r="D72" s="43">
        <f t="shared" si="43"/>
        <v>2</v>
      </c>
      <c r="E72" s="43">
        <f t="shared" si="43"/>
        <v>2</v>
      </c>
      <c r="F72" s="43">
        <f t="shared" si="43"/>
        <v>2</v>
      </c>
      <c r="G72" s="43">
        <f t="shared" si="43"/>
        <v>2</v>
      </c>
      <c r="H72" s="43">
        <f t="shared" si="43"/>
        <v>2</v>
      </c>
      <c r="I72" s="43">
        <f t="shared" si="43"/>
        <v>3</v>
      </c>
      <c r="J72" s="43">
        <f t="shared" si="43"/>
        <v>3</v>
      </c>
      <c r="K72" s="43">
        <f t="shared" si="43"/>
        <v>3</v>
      </c>
      <c r="L72" s="43">
        <f t="shared" si="43"/>
        <v>3</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21" customFormat="1" x14ac:dyDescent="0.2">
      <c r="A73" s="42" t="str">
        <f t="shared" si="30"/>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21"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8</v>
      </c>
      <c r="J74" s="43">
        <f t="shared" si="45"/>
        <v>8</v>
      </c>
      <c r="K74" s="43">
        <f t="shared" si="45"/>
        <v>9</v>
      </c>
      <c r="L74" s="43">
        <f t="shared" si="45"/>
        <v>10</v>
      </c>
      <c r="M74" s="43">
        <f t="shared" si="45"/>
        <v>12</v>
      </c>
      <c r="N74" s="43">
        <f t="shared" si="45"/>
        <v>12</v>
      </c>
      <c r="O74" s="43">
        <f t="shared" si="45"/>
        <v>12</v>
      </c>
      <c r="P74" s="43">
        <f t="shared" si="45"/>
        <v>12</v>
      </c>
      <c r="Q74" s="43">
        <f t="shared" si="45"/>
        <v>12</v>
      </c>
      <c r="R74" s="43">
        <f t="shared" si="45"/>
        <v>13</v>
      </c>
      <c r="S74" s="43">
        <f t="shared" si="45"/>
        <v>13</v>
      </c>
      <c r="T74" s="43">
        <f t="shared" si="45"/>
        <v>13</v>
      </c>
      <c r="U74" s="43">
        <f t="shared" si="45"/>
        <v>13</v>
      </c>
      <c r="V74" s="43">
        <f t="shared" si="45"/>
        <v>13</v>
      </c>
      <c r="W74" s="43">
        <f t="shared" si="45"/>
        <v>13</v>
      </c>
      <c r="X74" s="43">
        <f t="shared" si="45"/>
        <v>13</v>
      </c>
      <c r="Y74" s="43">
        <f t="shared" si="45"/>
        <v>12</v>
      </c>
      <c r="Z74" s="43">
        <f t="shared" si="45"/>
        <v>12</v>
      </c>
      <c r="AA74" s="43">
        <f t="shared" si="45"/>
        <v>11</v>
      </c>
      <c r="AB74" s="350">
        <f t="shared" si="45"/>
        <v>11</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A79" s="14"/>
      <c r="AC79" s="21"/>
    </row>
    <row r="80" spans="1:47" x14ac:dyDescent="0.2">
      <c r="A80" s="14"/>
      <c r="B80" s="30"/>
      <c r="C80" s="30"/>
      <c r="AC80" s="21"/>
      <c r="AD80" s="21"/>
      <c r="AE80" s="21"/>
      <c r="AH80" s="21"/>
      <c r="AI80" s="21"/>
      <c r="AJ80" s="21"/>
      <c r="AK80" s="21"/>
      <c r="AL80" s="21"/>
      <c r="AM80" s="21"/>
      <c r="AN80" s="21"/>
      <c r="AO80" s="21"/>
      <c r="AP80" s="21"/>
      <c r="AQ80" s="21"/>
      <c r="AR80" s="21"/>
    </row>
    <row r="81" spans="1:36" x14ac:dyDescent="0.2">
      <c r="B81" s="30"/>
      <c r="C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6">MIN(100,B86+$B$90)</f>
        <v>45.901136923127005</v>
      </c>
      <c r="C84" s="45">
        <f t="shared" si="46"/>
        <v>45.901136923127005</v>
      </c>
      <c r="D84" s="45">
        <f t="shared" si="46"/>
        <v>45.901136923127005</v>
      </c>
      <c r="E84" s="45">
        <f t="shared" si="46"/>
        <v>45.901136923127005</v>
      </c>
      <c r="F84" s="45">
        <f t="shared" si="46"/>
        <v>45.901136923127005</v>
      </c>
      <c r="G84" s="45">
        <f t="shared" si="46"/>
        <v>53.901136923127005</v>
      </c>
      <c r="H84" s="45">
        <f t="shared" si="46"/>
        <v>55.901136923127005</v>
      </c>
      <c r="I84" s="45">
        <f t="shared" si="46"/>
        <v>55.901136923127005</v>
      </c>
      <c r="J84" s="45">
        <f t="shared" si="46"/>
        <v>65.901136923127012</v>
      </c>
      <c r="K84" s="45">
        <f t="shared" si="46"/>
        <v>90.901136923127012</v>
      </c>
      <c r="L84" s="45">
        <f t="shared" si="46"/>
        <v>100</v>
      </c>
      <c r="M84" s="45">
        <f t="shared" si="46"/>
        <v>100</v>
      </c>
      <c r="N84" s="45">
        <f t="shared" si="46"/>
        <v>100</v>
      </c>
      <c r="O84" s="45">
        <f t="shared" si="46"/>
        <v>100</v>
      </c>
      <c r="P84" s="45">
        <f t="shared" si="46"/>
        <v>100</v>
      </c>
      <c r="Q84" s="45">
        <f t="shared" si="46"/>
        <v>100</v>
      </c>
      <c r="R84" s="45">
        <f t="shared" si="46"/>
        <v>100</v>
      </c>
      <c r="S84" s="45">
        <f t="shared" si="46"/>
        <v>100</v>
      </c>
      <c r="T84" s="45">
        <f t="shared" si="46"/>
        <v>100</v>
      </c>
      <c r="U84" s="45">
        <f t="shared" si="46"/>
        <v>100</v>
      </c>
      <c r="V84" s="45">
        <f t="shared" si="46"/>
        <v>100</v>
      </c>
      <c r="W84" s="45">
        <f t="shared" si="46"/>
        <v>100</v>
      </c>
      <c r="X84" s="45">
        <f t="shared" si="46"/>
        <v>100</v>
      </c>
      <c r="Y84" s="45">
        <f t="shared" si="46"/>
        <v>100</v>
      </c>
      <c r="Z84" s="45">
        <f t="shared" si="46"/>
        <v>100</v>
      </c>
      <c r="AA84" s="45">
        <f t="shared" si="46"/>
        <v>100</v>
      </c>
      <c r="AB84" s="46">
        <f t="shared" si="46"/>
        <v>100</v>
      </c>
      <c r="AC84" s="124">
        <f t="shared" si="46"/>
        <v>45.901136923127005</v>
      </c>
      <c r="AI84" s="97"/>
      <c r="AJ84" s="97"/>
    </row>
    <row r="85" spans="1:36"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1"/>
      <c r="AE87" s="21"/>
      <c r="AF87" s="22"/>
      <c r="AG87" s="12"/>
      <c r="AH87" s="23"/>
      <c r="AI87" s="97"/>
      <c r="AJ87" s="97"/>
    </row>
    <row r="88" spans="1:36"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17</v>
      </c>
      <c r="K95" s="74"/>
      <c r="AI95" s="97"/>
      <c r="AJ95" s="97"/>
    </row>
    <row r="96" spans="1:36" x14ac:dyDescent="0.2">
      <c r="A96" s="50" t="s">
        <v>140</v>
      </c>
      <c r="B96" s="51">
        <v>17</v>
      </c>
      <c r="K96" s="74"/>
      <c r="AI96" s="97"/>
      <c r="AJ96" s="97"/>
    </row>
    <row r="97" spans="1:36" x14ac:dyDescent="0.2">
      <c r="A97" s="75" t="s">
        <v>141</v>
      </c>
      <c r="B97" s="77">
        <v>17</v>
      </c>
      <c r="E97" s="73"/>
      <c r="F97" s="21"/>
      <c r="K97" s="74"/>
      <c r="AI97" s="97"/>
      <c r="AJ97" s="97"/>
    </row>
    <row r="98" spans="1:36" x14ac:dyDescent="0.2">
      <c r="A98" s="50" t="s">
        <v>142</v>
      </c>
      <c r="B98" s="51">
        <v>17</v>
      </c>
      <c r="E98" s="74"/>
      <c r="K98" s="74"/>
      <c r="AI98" s="97"/>
      <c r="AJ98" s="97"/>
    </row>
    <row r="99" spans="1:36" x14ac:dyDescent="0.2">
      <c r="A99" s="50" t="s">
        <v>158</v>
      </c>
      <c r="B99" s="52">
        <v>5</v>
      </c>
      <c r="E99" s="74"/>
      <c r="K99" s="74"/>
      <c r="AI99" s="97"/>
      <c r="AJ99" s="97"/>
    </row>
    <row r="100" spans="1:36" x14ac:dyDescent="0.2">
      <c r="A100" s="50" t="s">
        <v>159</v>
      </c>
      <c r="B100" s="52">
        <v>7</v>
      </c>
      <c r="E100" s="73"/>
      <c r="F100" s="21"/>
      <c r="K100" s="74"/>
      <c r="AI100" s="97"/>
      <c r="AJ100" s="97"/>
    </row>
    <row r="101" spans="1:36" x14ac:dyDescent="0.2">
      <c r="A101" s="50" t="s">
        <v>160</v>
      </c>
      <c r="B101" s="52">
        <v>12</v>
      </c>
      <c r="E101" s="74"/>
      <c r="K101" s="74"/>
      <c r="AI101" s="97"/>
      <c r="AJ101" s="97"/>
    </row>
    <row r="102" spans="1:36" x14ac:dyDescent="0.2">
      <c r="A102" s="50" t="s">
        <v>161</v>
      </c>
      <c r="B102" s="51">
        <v>17</v>
      </c>
      <c r="E102" s="74"/>
      <c r="J102" s="97"/>
      <c r="K102" s="131"/>
      <c r="L102" s="97"/>
      <c r="AI102" s="97"/>
      <c r="AJ102" s="97"/>
    </row>
    <row r="103" spans="1:36" x14ac:dyDescent="0.2">
      <c r="A103" s="50" t="s">
        <v>162</v>
      </c>
      <c r="B103" s="52">
        <v>5</v>
      </c>
      <c r="E103" s="74"/>
      <c r="K103" s="74"/>
      <c r="AI103" s="97"/>
      <c r="AJ103" s="97"/>
    </row>
    <row r="104" spans="1:36" s="97" customFormat="1" x14ac:dyDescent="0.2">
      <c r="A104" s="50" t="s">
        <v>163</v>
      </c>
      <c r="B104" s="55">
        <v>7</v>
      </c>
      <c r="E104" s="73"/>
      <c r="F104" s="21"/>
      <c r="K104" s="74"/>
      <c r="L104" s="15"/>
      <c r="AB104" s="109"/>
      <c r="AC104" s="15"/>
      <c r="AD104" s="4"/>
    </row>
    <row r="105" spans="1:36" x14ac:dyDescent="0.2">
      <c r="A105" s="50" t="s">
        <v>164</v>
      </c>
      <c r="B105" s="55">
        <v>12</v>
      </c>
      <c r="E105" s="74"/>
      <c r="K105" s="74"/>
      <c r="AI105" s="97"/>
      <c r="AJ105" s="97"/>
    </row>
    <row r="106" spans="1:36" x14ac:dyDescent="0.2">
      <c r="A106" s="50" t="s">
        <v>165</v>
      </c>
      <c r="B106" s="128">
        <v>17</v>
      </c>
      <c r="D106" s="97"/>
      <c r="E106" s="74"/>
      <c r="K106" s="74"/>
      <c r="AC106" s="4"/>
    </row>
    <row r="107" spans="1:36" x14ac:dyDescent="0.2">
      <c r="A107" s="50" t="s">
        <v>166</v>
      </c>
      <c r="B107" s="128">
        <v>12</v>
      </c>
      <c r="E107" s="73"/>
      <c r="F107" s="21"/>
      <c r="AI107" s="97"/>
      <c r="AJ107" s="97"/>
    </row>
    <row r="108" spans="1:36" x14ac:dyDescent="0.2">
      <c r="A108" s="50" t="s">
        <v>167</v>
      </c>
      <c r="B108" s="128">
        <v>12</v>
      </c>
      <c r="E108" s="73"/>
      <c r="F108" s="21"/>
      <c r="AI108" s="97"/>
      <c r="AJ108" s="97"/>
    </row>
    <row r="109" spans="1:36" x14ac:dyDescent="0.2">
      <c r="A109" s="50" t="s">
        <v>168</v>
      </c>
      <c r="B109" s="55">
        <v>12</v>
      </c>
      <c r="E109" s="73"/>
      <c r="F109" s="21"/>
      <c r="AI109" s="97"/>
      <c r="AJ109" s="97"/>
    </row>
    <row r="110" spans="1:36" x14ac:dyDescent="0.2">
      <c r="A110" s="50" t="s">
        <v>169</v>
      </c>
      <c r="B110" s="55">
        <v>3</v>
      </c>
      <c r="E110" s="74"/>
      <c r="AI110" s="97"/>
      <c r="AJ110" s="97"/>
    </row>
    <row r="111" spans="1:36" x14ac:dyDescent="0.2">
      <c r="A111" s="50" t="s">
        <v>170</v>
      </c>
      <c r="B111" s="55">
        <v>3</v>
      </c>
      <c r="E111" s="74"/>
      <c r="AI111" s="97"/>
      <c r="AJ111" s="97"/>
    </row>
    <row r="112" spans="1:36" x14ac:dyDescent="0.2">
      <c r="A112" s="50" t="s">
        <v>171</v>
      </c>
      <c r="B112" s="55">
        <v>4</v>
      </c>
      <c r="E112" s="74"/>
      <c r="F112" s="97"/>
      <c r="AI112" s="97"/>
      <c r="AJ112" s="97"/>
    </row>
    <row r="113" spans="1:38" x14ac:dyDescent="0.2">
      <c r="A113" s="50" t="s">
        <v>172</v>
      </c>
      <c r="B113" s="76">
        <v>4</v>
      </c>
      <c r="E113" s="74"/>
      <c r="F113" s="97"/>
      <c r="AI113" s="97"/>
      <c r="AJ113" s="97"/>
    </row>
    <row r="114" spans="1:38" ht="12.75" thickBot="1" x14ac:dyDescent="0.25">
      <c r="A114" s="53" t="s">
        <v>173</v>
      </c>
      <c r="B114" s="54">
        <v>13</v>
      </c>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11</v>
      </c>
      <c r="C122" s="160">
        <v>11</v>
      </c>
      <c r="D122" s="162">
        <v>10</v>
      </c>
      <c r="E122" s="162">
        <v>7</v>
      </c>
      <c r="F122" s="164">
        <v>6</v>
      </c>
      <c r="G122" s="209">
        <v>0</v>
      </c>
    </row>
    <row r="123" spans="1:38" x14ac:dyDescent="0.2">
      <c r="A123" s="157" t="s">
        <v>185</v>
      </c>
      <c r="B123" s="160">
        <v>11</v>
      </c>
      <c r="C123" s="160">
        <v>8</v>
      </c>
      <c r="D123" s="162">
        <v>7</v>
      </c>
      <c r="E123" s="162">
        <v>6</v>
      </c>
      <c r="F123" s="164">
        <v>5</v>
      </c>
      <c r="G123" s="209">
        <v>0</v>
      </c>
    </row>
    <row r="124" spans="1:38" x14ac:dyDescent="0.2">
      <c r="A124" s="208" t="s">
        <v>122</v>
      </c>
      <c r="B124" s="363"/>
      <c r="C124" s="364"/>
      <c r="D124" s="364"/>
      <c r="E124" s="364"/>
      <c r="F124" s="364"/>
      <c r="G124" s="212"/>
    </row>
    <row r="125" spans="1:38" ht="12.75" x14ac:dyDescent="0.2">
      <c r="A125" s="240" t="s">
        <v>123</v>
      </c>
      <c r="B125" s="213">
        <v>11</v>
      </c>
      <c r="C125" s="160">
        <f>ROUND(R39,0)</f>
        <v>6</v>
      </c>
      <c r="D125" s="162">
        <f t="shared" ref="D125:D134" si="50">C125-1</f>
        <v>5</v>
      </c>
      <c r="E125" s="162">
        <f>ROUND(H39,0)</f>
        <v>5</v>
      </c>
      <c r="F125" s="164">
        <v>4</v>
      </c>
      <c r="G125" s="165">
        <v>0</v>
      </c>
    </row>
    <row r="126" spans="1:38" ht="12.75" x14ac:dyDescent="0.2">
      <c r="A126" s="240" t="s">
        <v>124</v>
      </c>
      <c r="B126" s="160">
        <v>11</v>
      </c>
      <c r="C126" s="160">
        <f t="shared" ref="C126:C132" si="51">ROUND(R40,0)</f>
        <v>1</v>
      </c>
      <c r="D126" s="162">
        <v>1</v>
      </c>
      <c r="E126" s="162">
        <f>ROUND(H40,0)</f>
        <v>1</v>
      </c>
      <c r="F126" s="164">
        <v>0</v>
      </c>
      <c r="G126" s="209">
        <v>0</v>
      </c>
    </row>
    <row r="127" spans="1:38" ht="12.75" x14ac:dyDescent="0.2">
      <c r="A127" s="240" t="s">
        <v>125</v>
      </c>
      <c r="B127" s="160">
        <v>11</v>
      </c>
      <c r="C127" s="160">
        <f t="shared" si="51"/>
        <v>3</v>
      </c>
      <c r="D127" s="162">
        <f t="shared" si="50"/>
        <v>2</v>
      </c>
      <c r="E127" s="162"/>
      <c r="F127" s="164">
        <v>2</v>
      </c>
      <c r="G127" s="209">
        <v>0</v>
      </c>
    </row>
    <row r="128" spans="1:38" ht="12.75" x14ac:dyDescent="0.2">
      <c r="A128" s="240" t="s">
        <v>126</v>
      </c>
      <c r="B128" s="160">
        <v>11</v>
      </c>
      <c r="C128" s="160">
        <f t="shared" si="51"/>
        <v>6</v>
      </c>
      <c r="D128" s="162">
        <f t="shared" si="50"/>
        <v>5</v>
      </c>
      <c r="E128" s="162">
        <f>ROUND(H42,0)</f>
        <v>5</v>
      </c>
      <c r="F128" s="164">
        <v>4</v>
      </c>
      <c r="G128" s="209">
        <v>0</v>
      </c>
    </row>
    <row r="129" spans="1:7" ht="12.75" x14ac:dyDescent="0.2">
      <c r="A129" s="240" t="s">
        <v>127</v>
      </c>
      <c r="B129" s="160">
        <v>11</v>
      </c>
      <c r="C129" s="160">
        <f t="shared" si="51"/>
        <v>6</v>
      </c>
      <c r="D129" s="162">
        <f t="shared" si="50"/>
        <v>5</v>
      </c>
      <c r="E129" s="162">
        <f>ROUND(H43,0)</f>
        <v>5</v>
      </c>
      <c r="F129" s="164">
        <v>4</v>
      </c>
      <c r="G129" s="209">
        <v>0</v>
      </c>
    </row>
    <row r="130" spans="1:7" ht="12.75" x14ac:dyDescent="0.2">
      <c r="A130" s="240" t="s">
        <v>128</v>
      </c>
      <c r="B130" s="160">
        <v>11</v>
      </c>
      <c r="C130" s="160">
        <f t="shared" si="51"/>
        <v>6</v>
      </c>
      <c r="D130" s="162">
        <f t="shared" si="50"/>
        <v>5</v>
      </c>
      <c r="E130" s="162">
        <f>ROUND(H44,0)</f>
        <v>5</v>
      </c>
      <c r="F130" s="164">
        <v>4</v>
      </c>
      <c r="G130" s="209">
        <v>0</v>
      </c>
    </row>
    <row r="131" spans="1:7" ht="12.75" x14ac:dyDescent="0.2">
      <c r="A131" s="240" t="s">
        <v>129</v>
      </c>
      <c r="B131" s="160">
        <v>11</v>
      </c>
      <c r="C131" s="160">
        <f>ROUNDDOWN(R45,0)</f>
        <v>8</v>
      </c>
      <c r="D131" s="162">
        <f t="shared" si="50"/>
        <v>7</v>
      </c>
      <c r="E131" s="162">
        <f>ROUND(H45,0)</f>
        <v>2</v>
      </c>
      <c r="F131" s="164">
        <v>2</v>
      </c>
      <c r="G131" s="209">
        <v>0</v>
      </c>
    </row>
    <row r="132" spans="1:7" ht="12.75" x14ac:dyDescent="0.2">
      <c r="A132" s="240" t="s">
        <v>130</v>
      </c>
      <c r="B132" s="160">
        <v>11</v>
      </c>
      <c r="C132" s="160">
        <f t="shared" si="51"/>
        <v>7</v>
      </c>
      <c r="D132" s="162">
        <f t="shared" si="50"/>
        <v>6</v>
      </c>
      <c r="E132" s="162">
        <v>5</v>
      </c>
      <c r="F132" s="164">
        <v>3</v>
      </c>
      <c r="G132" s="209">
        <v>0</v>
      </c>
    </row>
    <row r="133" spans="1:7" ht="12.75" x14ac:dyDescent="0.2">
      <c r="A133" s="240" t="s">
        <v>131</v>
      </c>
      <c r="B133" s="160">
        <v>11</v>
      </c>
      <c r="C133" s="160">
        <f>ROUNDDOWN(R47,0)</f>
        <v>8</v>
      </c>
      <c r="D133" s="162">
        <f t="shared" si="50"/>
        <v>7</v>
      </c>
      <c r="E133" s="162">
        <f>ROUND(H47,0)</f>
        <v>2</v>
      </c>
      <c r="F133" s="164">
        <v>2</v>
      </c>
      <c r="G133" s="209">
        <v>0</v>
      </c>
    </row>
    <row r="134" spans="1:7" ht="12.75" x14ac:dyDescent="0.2">
      <c r="A134" s="240" t="s">
        <v>132</v>
      </c>
      <c r="B134" s="160">
        <v>11</v>
      </c>
      <c r="C134" s="160">
        <f>ROUNDDOWN(R48,0)</f>
        <v>8</v>
      </c>
      <c r="D134" s="162">
        <f t="shared" si="50"/>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5</v>
      </c>
      <c r="C138" s="167">
        <v>5</v>
      </c>
      <c r="D138" s="169">
        <v>4</v>
      </c>
      <c r="E138" s="169">
        <v>3</v>
      </c>
      <c r="F138" s="170">
        <v>2</v>
      </c>
      <c r="G138" s="214">
        <v>0</v>
      </c>
    </row>
    <row r="139" spans="1:7" ht="12.75" thickBot="1" x14ac:dyDescent="0.25">
      <c r="A139" s="158" t="s">
        <v>187</v>
      </c>
      <c r="B139" s="161">
        <v>5</v>
      </c>
      <c r="C139" s="161">
        <v>3</v>
      </c>
      <c r="D139" s="163">
        <v>2</v>
      </c>
      <c r="E139" s="163">
        <v>2</v>
      </c>
      <c r="F139" s="166">
        <v>1</v>
      </c>
      <c r="G139" s="215">
        <v>0</v>
      </c>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2">A40</f>
        <v>Ready HARM Support Mission System (D)</v>
      </c>
      <c r="B145" s="342">
        <f>HLOOKUP($B$142,'FA-18EF Mission System Summary'!$B$1:$F$12,4,FALSE)</f>
        <v>0.15186615186615185</v>
      </c>
    </row>
    <row r="146" spans="1:2" x14ac:dyDescent="0.2">
      <c r="A146" s="341" t="str">
        <f t="shared" si="52"/>
        <v>Ready Missile Launch Mission System (E)</v>
      </c>
      <c r="B146" s="342">
        <f>HLOOKUP($B$142,'FA-18EF Mission System Summary'!$B$1:$F$12,5,FALSE)</f>
        <v>0.39761189761189752</v>
      </c>
    </row>
    <row r="147" spans="1:2" x14ac:dyDescent="0.2">
      <c r="A147" s="341" t="str">
        <f t="shared" si="52"/>
        <v>Ready Survivablity Mission System (F)</v>
      </c>
      <c r="B147" s="342">
        <f>HLOOKUP($B$142,'FA-18EF Mission System Summary'!$B$1:$F$12,6,FALSE)</f>
        <v>0.68590018590018564</v>
      </c>
    </row>
    <row r="148" spans="1:2" x14ac:dyDescent="0.2">
      <c r="A148" s="341" t="str">
        <f t="shared" si="52"/>
        <v>Ready Leathality Mission System (G)</v>
      </c>
      <c r="B148" s="342">
        <f>HLOOKUP($B$142,'FA-18EF Mission System Summary'!$B$1:$F$12,7,FALSE)</f>
        <v>0.6974831974831972</v>
      </c>
    </row>
    <row r="149" spans="1:2" x14ac:dyDescent="0.2">
      <c r="A149" s="341" t="str">
        <f t="shared" si="52"/>
        <v>Ready Combat Communications Mission System (H)</v>
      </c>
      <c r="B149" s="342">
        <f>HLOOKUP($B$142,'FA-18EF Mission System Summary'!$B$1:$F$12,8,FALSE)</f>
        <v>0.6974831974831972</v>
      </c>
    </row>
    <row r="150" spans="1:2" x14ac:dyDescent="0.2">
      <c r="A150" s="341" t="str">
        <f t="shared" si="52"/>
        <v>Ready Air to Air Refueling Mission Systems (I)</v>
      </c>
      <c r="B150" s="342">
        <f>HLOOKUP($B$142,'FA-18EF Mission System Summary'!$B$1:$F$12,9,FALSE)</f>
        <v>0.34949234949234942</v>
      </c>
    </row>
    <row r="151" spans="1:2" x14ac:dyDescent="0.2">
      <c r="A151" s="341" t="str">
        <f t="shared" si="52"/>
        <v>Ready Tactical Navigation Mission Systems (J)</v>
      </c>
      <c r="B151" s="342">
        <f>HLOOKUP($B$142,'FA-18EF Mission System Summary'!$B$1:$F$12,10,FALSE)</f>
        <v>0.74445874445874416</v>
      </c>
    </row>
    <row r="152" spans="1:2" x14ac:dyDescent="0.2">
      <c r="A152" s="341" t="str">
        <f t="shared" si="52"/>
        <v>Ready Shipboard Mission Systems (K)</v>
      </c>
      <c r="B152" s="342">
        <f>HLOOKUP($B$142,'FA-18EF Mission System Summary'!$B$1:$F$12,11,FALSE)</f>
        <v>0.32600457600457594</v>
      </c>
    </row>
    <row r="153" spans="1:2" x14ac:dyDescent="0.2">
      <c r="A153" s="341" t="str">
        <f t="shared" si="52"/>
        <v>Ready IMC Flight Mission Systems (L)</v>
      </c>
      <c r="B153" s="342">
        <f>HLOOKUP($B$142,'FA-18EF Mission System Summary'!$B$1:$F$12,12,FALSE)</f>
        <v>1</v>
      </c>
    </row>
  </sheetData>
  <mergeCells count="15">
    <mergeCell ref="B16:E16"/>
    <mergeCell ref="A1:G1"/>
    <mergeCell ref="M1:P1"/>
    <mergeCell ref="A83:AC83"/>
    <mergeCell ref="R16:W16"/>
    <mergeCell ref="X16:AB16"/>
    <mergeCell ref="F16:J16"/>
    <mergeCell ref="K16:M16"/>
    <mergeCell ref="N16:Q16"/>
    <mergeCell ref="B120:C120"/>
    <mergeCell ref="D120:E120"/>
    <mergeCell ref="F120:G120"/>
    <mergeCell ref="A93:B93"/>
    <mergeCell ref="A94:B94"/>
    <mergeCell ref="A116:B116"/>
  </mergeCells>
  <conditionalFormatting sqref="C135">
    <cfRule type="cellIs" dxfId="171" priority="46" operator="equal">
      <formula>B135</formula>
    </cfRule>
  </conditionalFormatting>
  <conditionalFormatting sqref="D135:E135">
    <cfRule type="cellIs" dxfId="170" priority="49" operator="equal">
      <formula>C135</formula>
    </cfRule>
  </conditionalFormatting>
  <conditionalFormatting sqref="F135">
    <cfRule type="cellIs" dxfId="169" priority="47" operator="equal">
      <formula>E135</formula>
    </cfRule>
    <cfRule type="cellIs" dxfId="168" priority="48" operator="equal">
      <formula>G135</formula>
    </cfRule>
  </conditionalFormatting>
  <conditionalFormatting sqref="D122:E122">
    <cfRule type="cellIs" dxfId="167" priority="45" operator="equal">
      <formula>C122</formula>
    </cfRule>
  </conditionalFormatting>
  <conditionalFormatting sqref="C122">
    <cfRule type="cellIs" dxfId="166" priority="33" operator="equal">
      <formula>B122</formula>
    </cfRule>
  </conditionalFormatting>
  <conditionalFormatting sqref="F122">
    <cfRule type="cellIs" dxfId="165" priority="44" operator="equal">
      <formula>E122</formula>
    </cfRule>
  </conditionalFormatting>
  <conditionalFormatting sqref="E122">
    <cfRule type="cellIs" dxfId="164" priority="43" operator="equal">
      <formula>D122</formula>
    </cfRule>
  </conditionalFormatting>
  <conditionalFormatting sqref="F122">
    <cfRule type="cellIs" dxfId="163" priority="40" operator="equal">
      <formula>E122</formula>
    </cfRule>
  </conditionalFormatting>
  <conditionalFormatting sqref="C122">
    <cfRule type="cellIs" dxfId="162" priority="41" operator="equal">
      <formula>B122</formula>
    </cfRule>
  </conditionalFormatting>
  <conditionalFormatting sqref="D122">
    <cfRule type="cellIs" dxfId="161" priority="38" operator="equal">
      <formula>C122</formula>
    </cfRule>
  </conditionalFormatting>
  <conditionalFormatting sqref="E122">
    <cfRule type="cellIs" dxfId="160" priority="39" operator="equal">
      <formula>D122</formula>
    </cfRule>
  </conditionalFormatting>
  <conditionalFormatting sqref="C122">
    <cfRule type="cellIs" dxfId="159" priority="37" operator="equal">
      <formula>B122</formula>
    </cfRule>
  </conditionalFormatting>
  <conditionalFormatting sqref="D122">
    <cfRule type="cellIs" dxfId="158" priority="36" operator="equal">
      <formula>C122</formula>
    </cfRule>
  </conditionalFormatting>
  <conditionalFormatting sqref="E122">
    <cfRule type="cellIs" dxfId="157" priority="35" operator="equal">
      <formula>D122</formula>
    </cfRule>
  </conditionalFormatting>
  <conditionalFormatting sqref="C136:C137">
    <cfRule type="cellIs" dxfId="156" priority="29" operator="equal">
      <formula>B136</formula>
    </cfRule>
  </conditionalFormatting>
  <conditionalFormatting sqref="D136:E137">
    <cfRule type="cellIs" dxfId="155" priority="32" operator="equal">
      <formula>C136</formula>
    </cfRule>
  </conditionalFormatting>
  <conditionalFormatting sqref="F136:F137">
    <cfRule type="cellIs" dxfId="154" priority="30" operator="equal">
      <formula>E136</formula>
    </cfRule>
    <cfRule type="cellIs" dxfId="153" priority="31" operator="equal">
      <formula>G136</formula>
    </cfRule>
  </conditionalFormatting>
  <conditionalFormatting sqref="C138:C139">
    <cfRule type="cellIs" dxfId="152" priority="19" operator="equal">
      <formula>B138</formula>
    </cfRule>
  </conditionalFormatting>
  <conditionalFormatting sqref="D138:E139">
    <cfRule type="cellIs" dxfId="151" priority="20" operator="equal">
      <formula>C138</formula>
    </cfRule>
  </conditionalFormatting>
  <conditionalFormatting sqref="F138:F139">
    <cfRule type="cellIs" dxfId="150" priority="21" operator="equal">
      <formula>G138</formula>
    </cfRule>
    <cfRule type="cellIs" dxfId="149" priority="22" operator="equal">
      <formula>E138</formula>
    </cfRule>
  </conditionalFormatting>
  <conditionalFormatting sqref="C124">
    <cfRule type="cellIs" dxfId="148" priority="15" operator="equal">
      <formula>B124</formula>
    </cfRule>
  </conditionalFormatting>
  <conditionalFormatting sqref="D124:E124">
    <cfRule type="cellIs" dxfId="147" priority="18" operator="equal">
      <formula>C124</formula>
    </cfRule>
  </conditionalFormatting>
  <conditionalFormatting sqref="F124">
    <cfRule type="cellIs" dxfId="146" priority="16" operator="equal">
      <formula>E124</formula>
    </cfRule>
    <cfRule type="cellIs" dxfId="145" priority="17" operator="equal">
      <formula>G124</formula>
    </cfRule>
  </conditionalFormatting>
  <conditionalFormatting sqref="C123">
    <cfRule type="cellIs" dxfId="144" priority="8" operator="equal">
      <formula>B123</formula>
    </cfRule>
  </conditionalFormatting>
  <conditionalFormatting sqref="D123:E123">
    <cfRule type="cellIs" dxfId="143" priority="14" operator="equal">
      <formula>C123</formula>
    </cfRule>
  </conditionalFormatting>
  <conditionalFormatting sqref="F123">
    <cfRule type="cellIs" dxfId="142" priority="9" operator="equal">
      <formula>E123</formula>
    </cfRule>
    <cfRule type="cellIs" dxfId="141" priority="12" operator="equal">
      <formula>G123</formula>
    </cfRule>
  </conditionalFormatting>
  <conditionalFormatting sqref="E123">
    <cfRule type="cellIs" dxfId="140" priority="13" operator="equal">
      <formula>D123</formula>
    </cfRule>
  </conditionalFormatting>
  <conditionalFormatting sqref="E123">
    <cfRule type="cellIs" dxfId="139" priority="11" operator="equal">
      <formula>D123</formula>
    </cfRule>
  </conditionalFormatting>
  <conditionalFormatting sqref="E123">
    <cfRule type="cellIs" dxfId="138" priority="10" operator="equal">
      <formula>D123</formula>
    </cfRule>
  </conditionalFormatting>
  <conditionalFormatting sqref="D126:D134">
    <cfRule type="cellIs" dxfId="137" priority="5" operator="equal">
      <formula>C126</formula>
    </cfRule>
  </conditionalFormatting>
  <conditionalFormatting sqref="F126:F134">
    <cfRule type="cellIs" dxfId="136" priority="4" operator="equal">
      <formula>G126</formula>
    </cfRule>
    <cfRule type="cellIs" dxfId="135" priority="6" operator="equal">
      <formula>E126</formula>
    </cfRule>
  </conditionalFormatting>
  <conditionalFormatting sqref="C125:C134">
    <cfRule type="cellIs" dxfId="134" priority="3" operator="equal">
      <formula>B125</formula>
    </cfRule>
  </conditionalFormatting>
  <conditionalFormatting sqref="D125:E125 E126:E134">
    <cfRule type="cellIs" dxfId="133" priority="1" operator="equal">
      <formula>C125</formula>
    </cfRule>
  </conditionalFormatting>
  <conditionalFormatting sqref="F125">
    <cfRule type="cellIs" dxfId="132" priority="2" operator="equal">
      <formula>G125</formula>
    </cfRule>
    <cfRule type="cellIs" dxfId="131" priority="7" operator="equal">
      <formula>E125</formula>
    </cfRule>
  </conditionalFormatting>
  <hyperlinks>
    <hyperlink ref="H1" location="Inventory!A1" display="Inventory" xr:uid="{00000000-0004-0000-0600-000000000000}"/>
    <hyperlink ref="I121" location="Inventory!A1" display="Inventory" xr:uid="{00000000-0004-0000-0600-000001000000}"/>
    <hyperlink ref="I120" location="'VFA (11F) (5 ARS)'!A1" display="Top" xr:uid="{00000000-0004-0000-0600-000002000000}"/>
    <hyperlink ref="H2" location="'VFA (11F) (5 ARS)'!A140" display="AMFOM" xr:uid="{00000000-0004-0000-0600-000003000000}"/>
  </hyperlinks>
  <printOptions horizontalCentered="1" verticalCentered="1"/>
  <pageMargins left="0.5" right="0.25" top="0.5" bottom="0.5" header="0.5" footer="0.5"/>
  <pageSetup scale="3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U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50" t="s">
        <v>196</v>
      </c>
      <c r="B1" s="450"/>
      <c r="C1" s="450"/>
      <c r="D1" s="450"/>
      <c r="E1" s="450"/>
      <c r="F1" s="450"/>
      <c r="G1" s="450"/>
      <c r="H1" s="145" t="s">
        <v>40</v>
      </c>
      <c r="K1" s="95"/>
      <c r="L1" s="146" t="s">
        <v>41</v>
      </c>
      <c r="M1" s="441">
        <v>44835</v>
      </c>
      <c r="N1" s="442"/>
      <c r="O1" s="443"/>
      <c r="P1" s="443"/>
      <c r="AC1" s="324" t="s">
        <v>42</v>
      </c>
      <c r="AD1" s="325">
        <v>10.06</v>
      </c>
    </row>
    <row r="2" spans="1:34" s="4" customFormat="1" ht="12.75" x14ac:dyDescent="0.2">
      <c r="A2" s="2" t="s">
        <v>43</v>
      </c>
      <c r="B2" s="80">
        <v>11</v>
      </c>
      <c r="C2" s="81"/>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82">
        <f>B4/B2</f>
        <v>1.5454545454545454</v>
      </c>
      <c r="C3" s="81"/>
      <c r="D3" s="3"/>
      <c r="I3" s="3"/>
      <c r="J3" s="3"/>
      <c r="K3" s="3"/>
      <c r="N3" s="5"/>
      <c r="O3" s="5"/>
      <c r="P3" s="5"/>
      <c r="Q3" s="5"/>
      <c r="R3" s="3"/>
      <c r="S3" s="3"/>
      <c r="T3" s="3"/>
      <c r="U3" s="3"/>
      <c r="V3" s="3"/>
      <c r="W3" s="3"/>
      <c r="X3" s="3"/>
      <c r="Y3" s="3"/>
      <c r="Z3" s="3"/>
      <c r="AA3" s="3"/>
      <c r="AB3" s="3"/>
      <c r="AC3" s="100"/>
    </row>
    <row r="4" spans="1:34" s="4" customFormat="1" ht="11.25" x14ac:dyDescent="0.2">
      <c r="A4" s="2" t="s">
        <v>45</v>
      </c>
      <c r="B4" s="80">
        <v>17</v>
      </c>
      <c r="C4" s="81"/>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81">
        <v>1.5</v>
      </c>
      <c r="C5" s="83"/>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81">
        <v>27.5</v>
      </c>
      <c r="C6" s="83"/>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81">
        <f>B6*B4</f>
        <v>467.5</v>
      </c>
      <c r="C7" s="84"/>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80">
        <f>B7/B5</f>
        <v>311.66666666666669</v>
      </c>
      <c r="C8" s="81"/>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81">
        <f>B4*C9</f>
        <v>17</v>
      </c>
      <c r="C9" s="81">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81">
        <f>B4*C10</f>
        <v>105.4</v>
      </c>
      <c r="C10" s="81">
        <v>6.2</v>
      </c>
      <c r="D10" s="4" t="s">
        <v>51</v>
      </c>
      <c r="E10" s="3"/>
      <c r="F10" s="3"/>
      <c r="G10" s="94" t="s">
        <v>54</v>
      </c>
      <c r="H10" s="93">
        <v>0.26400000000000001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34</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11" t="s">
        <v>65</v>
      </c>
      <c r="C14" s="11" t="s">
        <v>66</v>
      </c>
      <c r="D14" s="11" t="s">
        <v>67</v>
      </c>
      <c r="E14" s="11" t="s">
        <v>68</v>
      </c>
      <c r="F14" s="11" t="s">
        <v>69</v>
      </c>
      <c r="G14" s="11" t="s">
        <v>70</v>
      </c>
      <c r="H14" s="11" t="s">
        <v>71</v>
      </c>
      <c r="I14" s="11" t="s">
        <v>72</v>
      </c>
      <c r="J14" s="11" t="s">
        <v>73</v>
      </c>
      <c r="K14" s="11" t="s">
        <v>74</v>
      </c>
      <c r="L14" s="11" t="s">
        <v>75</v>
      </c>
      <c r="M14" s="11" t="s">
        <v>76</v>
      </c>
      <c r="N14" s="11" t="s">
        <v>77</v>
      </c>
      <c r="O14" s="11" t="s">
        <v>78</v>
      </c>
      <c r="P14" s="11" t="s">
        <v>79</v>
      </c>
      <c r="Q14" s="11" t="s">
        <v>80</v>
      </c>
      <c r="R14" s="11" t="s">
        <v>81</v>
      </c>
      <c r="S14" s="11" t="s">
        <v>82</v>
      </c>
      <c r="T14" s="11" t="s">
        <v>83</v>
      </c>
      <c r="U14" s="11" t="s">
        <v>84</v>
      </c>
      <c r="V14" s="11" t="s">
        <v>85</v>
      </c>
      <c r="W14" s="11" t="s">
        <v>86</v>
      </c>
      <c r="X14" s="11" t="s">
        <v>87</v>
      </c>
      <c r="Y14" s="11" t="s">
        <v>88</v>
      </c>
      <c r="Z14" s="11" t="s">
        <v>89</v>
      </c>
      <c r="AA14" s="11" t="s">
        <v>90</v>
      </c>
      <c r="AB14" s="419" t="s">
        <v>91</v>
      </c>
      <c r="AC14" s="11" t="s">
        <v>92</v>
      </c>
      <c r="AD14" s="12"/>
      <c r="AE14" s="12"/>
      <c r="AF14" s="12"/>
      <c r="AG14" s="12"/>
      <c r="AH14" s="12"/>
    </row>
    <row r="15" spans="1:34" s="13" customFormat="1" x14ac:dyDescent="0.2">
      <c r="A15" s="8" t="s">
        <v>93</v>
      </c>
      <c r="B15" s="11">
        <v>1</v>
      </c>
      <c r="C15" s="11">
        <v>2</v>
      </c>
      <c r="D15" s="11">
        <v>3</v>
      </c>
      <c r="E15" s="11">
        <v>4</v>
      </c>
      <c r="F15" s="11">
        <v>5</v>
      </c>
      <c r="G15" s="11">
        <v>6</v>
      </c>
      <c r="H15" s="11">
        <v>7</v>
      </c>
      <c r="I15" s="11">
        <v>8</v>
      </c>
      <c r="J15" s="11">
        <v>9</v>
      </c>
      <c r="K15" s="11">
        <v>10</v>
      </c>
      <c r="L15" s="11">
        <v>11</v>
      </c>
      <c r="M15" s="11">
        <v>12</v>
      </c>
      <c r="N15" s="11">
        <v>13</v>
      </c>
      <c r="O15" s="11">
        <v>14</v>
      </c>
      <c r="P15" s="11">
        <v>15</v>
      </c>
      <c r="Q15" s="11">
        <v>16</v>
      </c>
      <c r="R15" s="11">
        <v>17</v>
      </c>
      <c r="S15" s="11">
        <v>18</v>
      </c>
      <c r="T15" s="11">
        <v>19</v>
      </c>
      <c r="U15" s="11">
        <v>20</v>
      </c>
      <c r="V15" s="11">
        <v>21</v>
      </c>
      <c r="W15" s="11">
        <v>22</v>
      </c>
      <c r="X15" s="11">
        <v>23</v>
      </c>
      <c r="Y15" s="11">
        <v>24</v>
      </c>
      <c r="Z15" s="11">
        <v>25</v>
      </c>
      <c r="AA15" s="11">
        <v>26</v>
      </c>
      <c r="AB15" s="419">
        <v>27</v>
      </c>
      <c r="AC15" s="11">
        <v>28</v>
      </c>
      <c r="AD15" s="12"/>
      <c r="AE15" s="12"/>
      <c r="AF15" s="12"/>
      <c r="AG15" s="12"/>
      <c r="AH15" s="12"/>
    </row>
    <row r="16" spans="1:34" x14ac:dyDescent="0.2">
      <c r="A16" s="8" t="s">
        <v>94</v>
      </c>
      <c r="B16" s="447" t="s">
        <v>95</v>
      </c>
      <c r="C16" s="448"/>
      <c r="D16" s="448"/>
      <c r="E16" s="449"/>
      <c r="F16" s="447" t="s">
        <v>96</v>
      </c>
      <c r="G16" s="448"/>
      <c r="H16" s="448"/>
      <c r="I16" s="448"/>
      <c r="J16" s="449"/>
      <c r="K16" s="447" t="s">
        <v>97</v>
      </c>
      <c r="L16" s="448"/>
      <c r="M16" s="449"/>
      <c r="N16" s="447" t="s">
        <v>61</v>
      </c>
      <c r="O16" s="448"/>
      <c r="P16" s="448"/>
      <c r="Q16" s="449"/>
      <c r="R16" s="447" t="s">
        <v>98</v>
      </c>
      <c r="S16" s="448"/>
      <c r="T16" s="448"/>
      <c r="U16" s="448"/>
      <c r="V16" s="448"/>
      <c r="W16" s="449"/>
      <c r="X16" s="447" t="s">
        <v>99</v>
      </c>
      <c r="Y16" s="448"/>
      <c r="Z16" s="448"/>
      <c r="AA16" s="448"/>
      <c r="AB16" s="448"/>
      <c r="AC16" s="11" t="s">
        <v>100</v>
      </c>
      <c r="AD16" s="14"/>
      <c r="AE16" s="14"/>
      <c r="AF16" s="14"/>
      <c r="AG16" s="14"/>
      <c r="AH16" s="14"/>
    </row>
    <row r="17" spans="1:34" ht="12.75" x14ac:dyDescent="0.2">
      <c r="A17" s="96" t="s">
        <v>101</v>
      </c>
      <c r="B17" s="16"/>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9"/>
      <c r="AD17" s="14"/>
      <c r="AE17" s="14"/>
      <c r="AF17" s="14"/>
      <c r="AG17" s="14"/>
      <c r="AH17" s="14"/>
    </row>
    <row r="18" spans="1:34" s="97" customFormat="1" x14ac:dyDescent="0.2">
      <c r="A18" s="133"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19"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x14ac:dyDescent="0.2">
      <c r="A20" s="177" t="s">
        <v>104</v>
      </c>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5"/>
      <c r="AD20" s="21"/>
      <c r="AE20" s="21"/>
      <c r="AF20" s="22"/>
      <c r="AG20" s="12"/>
      <c r="AH20" s="23"/>
    </row>
    <row r="21" spans="1:34" s="27" customFormat="1" x14ac:dyDescent="0.2">
      <c r="A21" s="24" t="s">
        <v>105</v>
      </c>
      <c r="B21" s="179">
        <f t="shared" ref="B21:AC21" si="1">B19*$B$8</f>
        <v>155.83333333333334</v>
      </c>
      <c r="C21" s="179">
        <f t="shared" si="1"/>
        <v>155.83333333333334</v>
      </c>
      <c r="D21" s="179">
        <f t="shared" si="1"/>
        <v>155.83333333333334</v>
      </c>
      <c r="E21" s="179">
        <f t="shared" si="1"/>
        <v>155.83333333333334</v>
      </c>
      <c r="F21" s="179">
        <f t="shared" si="1"/>
        <v>155.83333333333334</v>
      </c>
      <c r="G21" s="179">
        <f t="shared" si="1"/>
        <v>155.83333333333334</v>
      </c>
      <c r="H21" s="179">
        <f t="shared" si="1"/>
        <v>171.41666666666669</v>
      </c>
      <c r="I21" s="179">
        <f t="shared" si="1"/>
        <v>187</v>
      </c>
      <c r="J21" s="179">
        <f t="shared" si="1"/>
        <v>202.58333333333334</v>
      </c>
      <c r="K21" s="179">
        <f t="shared" si="1"/>
        <v>218.16666666666666</v>
      </c>
      <c r="L21" s="179">
        <f t="shared" si="1"/>
        <v>218.16666666666666</v>
      </c>
      <c r="M21" s="179">
        <f t="shared" si="1"/>
        <v>218.16666666666666</v>
      </c>
      <c r="N21" s="179">
        <f t="shared" si="1"/>
        <v>218.16666666666666</v>
      </c>
      <c r="O21" s="179">
        <f t="shared" si="1"/>
        <v>218.16666666666666</v>
      </c>
      <c r="P21" s="179">
        <f t="shared" si="1"/>
        <v>218.16666666666666</v>
      </c>
      <c r="Q21" s="179">
        <f t="shared" si="1"/>
        <v>124.66666666666669</v>
      </c>
      <c r="R21" s="179">
        <f t="shared" si="1"/>
        <v>249.33333333333337</v>
      </c>
      <c r="S21" s="179">
        <f t="shared" si="1"/>
        <v>249.33333333333337</v>
      </c>
      <c r="T21" s="179">
        <f t="shared" si="1"/>
        <v>249.33333333333337</v>
      </c>
      <c r="U21" s="179">
        <f t="shared" si="1"/>
        <v>249.33333333333337</v>
      </c>
      <c r="V21" s="179">
        <f t="shared" si="1"/>
        <v>249.33333333333337</v>
      </c>
      <c r="W21" s="179">
        <f t="shared" si="1"/>
        <v>218.16666666666666</v>
      </c>
      <c r="X21" s="179">
        <f t="shared" si="1"/>
        <v>124.66666666666669</v>
      </c>
      <c r="Y21" s="179">
        <f t="shared" si="1"/>
        <v>187</v>
      </c>
      <c r="Z21" s="179">
        <f t="shared" si="1"/>
        <v>187</v>
      </c>
      <c r="AA21" s="179">
        <f t="shared" si="1"/>
        <v>187</v>
      </c>
      <c r="AB21" s="188">
        <f t="shared" si="1"/>
        <v>187</v>
      </c>
      <c r="AC21" s="25">
        <f t="shared" si="1"/>
        <v>124.66666666666669</v>
      </c>
      <c r="AD21" s="26"/>
      <c r="AE21" s="26"/>
      <c r="AF21" s="26"/>
      <c r="AG21" s="26"/>
      <c r="AH21" s="26"/>
    </row>
    <row r="22" spans="1:34" s="30" customFormat="1" x14ac:dyDescent="0.2">
      <c r="A22" s="24" t="s">
        <v>106</v>
      </c>
      <c r="B22" s="28">
        <f t="shared" ref="B22:AC22" si="2">B21*$B$5</f>
        <v>233.75</v>
      </c>
      <c r="C22" s="28">
        <f t="shared" si="2"/>
        <v>233.75</v>
      </c>
      <c r="D22" s="28">
        <f t="shared" si="2"/>
        <v>233.75</v>
      </c>
      <c r="E22" s="28">
        <f t="shared" si="2"/>
        <v>233.75</v>
      </c>
      <c r="F22" s="28">
        <f t="shared" si="2"/>
        <v>233.75</v>
      </c>
      <c r="G22" s="28">
        <f t="shared" si="2"/>
        <v>233.75</v>
      </c>
      <c r="H22" s="28">
        <f t="shared" si="2"/>
        <v>257.125</v>
      </c>
      <c r="I22" s="28">
        <f t="shared" si="2"/>
        <v>280.5</v>
      </c>
      <c r="J22" s="28">
        <f t="shared" si="2"/>
        <v>303.875</v>
      </c>
      <c r="K22" s="28">
        <f t="shared" si="2"/>
        <v>327.25</v>
      </c>
      <c r="L22" s="28">
        <f t="shared" si="2"/>
        <v>327.25</v>
      </c>
      <c r="M22" s="28">
        <f t="shared" si="2"/>
        <v>327.25</v>
      </c>
      <c r="N22" s="28">
        <f t="shared" si="2"/>
        <v>327.25</v>
      </c>
      <c r="O22" s="28">
        <f t="shared" si="2"/>
        <v>327.25</v>
      </c>
      <c r="P22" s="28">
        <f t="shared" si="2"/>
        <v>327.25</v>
      </c>
      <c r="Q22" s="28">
        <f t="shared" si="2"/>
        <v>187.00000000000003</v>
      </c>
      <c r="R22" s="28">
        <f t="shared" si="2"/>
        <v>374.00000000000006</v>
      </c>
      <c r="S22" s="28">
        <f t="shared" si="2"/>
        <v>374.00000000000006</v>
      </c>
      <c r="T22" s="28">
        <f t="shared" si="2"/>
        <v>374.00000000000006</v>
      </c>
      <c r="U22" s="28">
        <f t="shared" si="2"/>
        <v>374.00000000000006</v>
      </c>
      <c r="V22" s="28">
        <f t="shared" si="2"/>
        <v>374.00000000000006</v>
      </c>
      <c r="W22" s="28">
        <f t="shared" si="2"/>
        <v>327.25</v>
      </c>
      <c r="X22" s="28">
        <f t="shared" si="2"/>
        <v>187.00000000000003</v>
      </c>
      <c r="Y22" s="28">
        <f t="shared" si="2"/>
        <v>280.5</v>
      </c>
      <c r="Z22" s="28">
        <f t="shared" si="2"/>
        <v>280.5</v>
      </c>
      <c r="AA22" s="28">
        <f t="shared" si="2"/>
        <v>280.5</v>
      </c>
      <c r="AB22" s="175">
        <f t="shared" si="2"/>
        <v>280.5</v>
      </c>
      <c r="AC22" s="28">
        <f t="shared" si="2"/>
        <v>187.00000000000003</v>
      </c>
      <c r="AD22" s="29"/>
      <c r="AE22" s="29"/>
      <c r="AF22" s="29"/>
      <c r="AG22" s="29"/>
      <c r="AH22" s="29"/>
    </row>
    <row r="23" spans="1:34" s="30" customFormat="1" x14ac:dyDescent="0.2">
      <c r="A23" s="24" t="s">
        <v>107</v>
      </c>
      <c r="B23" s="101">
        <f>$B$9</f>
        <v>17</v>
      </c>
      <c r="C23" s="101">
        <f t="shared" ref="C23:AC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01">
        <f t="shared" si="3"/>
        <v>17</v>
      </c>
      <c r="N23" s="101">
        <f t="shared" si="3"/>
        <v>17</v>
      </c>
      <c r="O23" s="101">
        <f t="shared" si="3"/>
        <v>17</v>
      </c>
      <c r="P23" s="101">
        <f t="shared" si="3"/>
        <v>17</v>
      </c>
      <c r="Q23" s="101">
        <f t="shared" si="3"/>
        <v>17</v>
      </c>
      <c r="R23" s="101">
        <f t="shared" si="3"/>
        <v>17</v>
      </c>
      <c r="S23" s="101">
        <f t="shared" si="3"/>
        <v>17</v>
      </c>
      <c r="T23" s="101">
        <f t="shared" si="3"/>
        <v>17</v>
      </c>
      <c r="U23" s="101">
        <f t="shared" si="3"/>
        <v>17</v>
      </c>
      <c r="V23" s="101">
        <f t="shared" si="3"/>
        <v>17</v>
      </c>
      <c r="W23" s="101">
        <f t="shared" si="3"/>
        <v>17</v>
      </c>
      <c r="X23" s="101">
        <f t="shared" si="3"/>
        <v>17</v>
      </c>
      <c r="Y23" s="101">
        <f t="shared" si="3"/>
        <v>17</v>
      </c>
      <c r="Z23" s="101">
        <f t="shared" si="3"/>
        <v>17</v>
      </c>
      <c r="AA23" s="101">
        <f t="shared" si="3"/>
        <v>17</v>
      </c>
      <c r="AB23" s="189">
        <f t="shared" si="3"/>
        <v>17</v>
      </c>
      <c r="AC23" s="101">
        <f t="shared" si="3"/>
        <v>17</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105.4</v>
      </c>
      <c r="K24" s="101">
        <f t="shared" si="4"/>
        <v>0</v>
      </c>
      <c r="L24" s="101">
        <f t="shared" si="4"/>
        <v>105.4</v>
      </c>
      <c r="M24" s="101">
        <f t="shared" si="4"/>
        <v>105.4</v>
      </c>
      <c r="N24" s="101">
        <f t="shared" si="4"/>
        <v>0</v>
      </c>
      <c r="O24" s="101">
        <f t="shared" si="4"/>
        <v>0</v>
      </c>
      <c r="P24" s="101">
        <f t="shared" si="4"/>
        <v>105.4</v>
      </c>
      <c r="Q24" s="101">
        <f t="shared" si="4"/>
        <v>0</v>
      </c>
      <c r="R24" s="101">
        <f t="shared" si="4"/>
        <v>105.4</v>
      </c>
      <c r="S24" s="101">
        <f t="shared" si="4"/>
        <v>105.4</v>
      </c>
      <c r="T24" s="101">
        <f t="shared" si="4"/>
        <v>105.4</v>
      </c>
      <c r="U24" s="101">
        <f t="shared" si="4"/>
        <v>105.4</v>
      </c>
      <c r="V24" s="101">
        <f t="shared" si="4"/>
        <v>105.4</v>
      </c>
      <c r="W24" s="101">
        <f t="shared" si="4"/>
        <v>105.4</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250.75</v>
      </c>
      <c r="C25" s="28">
        <f t="shared" si="5"/>
        <v>250.75</v>
      </c>
      <c r="D25" s="28">
        <f t="shared" si="5"/>
        <v>250.75</v>
      </c>
      <c r="E25" s="28">
        <f t="shared" si="5"/>
        <v>250.75</v>
      </c>
      <c r="F25" s="28">
        <f t="shared" si="5"/>
        <v>250.75</v>
      </c>
      <c r="G25" s="28">
        <f t="shared" si="5"/>
        <v>250.75</v>
      </c>
      <c r="H25" s="28">
        <f t="shared" si="5"/>
        <v>274.125</v>
      </c>
      <c r="I25" s="28">
        <f t="shared" si="5"/>
        <v>297.5</v>
      </c>
      <c r="J25" s="28">
        <f t="shared" si="5"/>
        <v>426.27499999999998</v>
      </c>
      <c r="K25" s="28">
        <f t="shared" si="5"/>
        <v>344.25</v>
      </c>
      <c r="L25" s="28">
        <f t="shared" si="5"/>
        <v>449.65</v>
      </c>
      <c r="M25" s="28">
        <f t="shared" si="5"/>
        <v>449.65</v>
      </c>
      <c r="N25" s="28">
        <f t="shared" si="5"/>
        <v>344.25</v>
      </c>
      <c r="O25" s="28">
        <f t="shared" si="5"/>
        <v>344.25</v>
      </c>
      <c r="P25" s="28">
        <f t="shared" si="5"/>
        <v>449.65</v>
      </c>
      <c r="Q25" s="28">
        <f t="shared" si="5"/>
        <v>204.00000000000003</v>
      </c>
      <c r="R25" s="28">
        <f t="shared" si="5"/>
        <v>496.40000000000009</v>
      </c>
      <c r="S25" s="28">
        <f t="shared" si="5"/>
        <v>496.40000000000009</v>
      </c>
      <c r="T25" s="28">
        <f t="shared" si="5"/>
        <v>496.40000000000009</v>
      </c>
      <c r="U25" s="28">
        <f t="shared" si="5"/>
        <v>496.40000000000009</v>
      </c>
      <c r="V25" s="28">
        <f t="shared" si="5"/>
        <v>496.40000000000009</v>
      </c>
      <c r="W25" s="28">
        <f t="shared" si="5"/>
        <v>449.65</v>
      </c>
      <c r="X25" s="28">
        <f t="shared" si="5"/>
        <v>204.00000000000003</v>
      </c>
      <c r="Y25" s="28">
        <f t="shared" si="5"/>
        <v>297.5</v>
      </c>
      <c r="Z25" s="28">
        <f t="shared" si="5"/>
        <v>297.5</v>
      </c>
      <c r="AA25" s="28">
        <f t="shared" si="5"/>
        <v>297.5</v>
      </c>
      <c r="AB25" s="175">
        <f t="shared" si="5"/>
        <v>297.5</v>
      </c>
      <c r="AC25" s="28">
        <f t="shared" si="5"/>
        <v>204.00000000000003</v>
      </c>
      <c r="AD25" s="29"/>
      <c r="AE25" s="29"/>
      <c r="AF25" s="29"/>
      <c r="AG25" s="29"/>
      <c r="AH25" s="29"/>
    </row>
    <row r="26" spans="1:34" s="30" customFormat="1" x14ac:dyDescent="0.2">
      <c r="A26" s="31" t="s">
        <v>110</v>
      </c>
      <c r="B26" s="32">
        <f t="shared" ref="B26:AB26" si="6">-IF(ISBLANK(B117),0,MIN(B$22*$H$10,B$22-$B$7*$H$9))</f>
        <v>-46.75</v>
      </c>
      <c r="C26" s="32">
        <f t="shared" si="6"/>
        <v>-46.75</v>
      </c>
      <c r="D26" s="32">
        <f t="shared" si="6"/>
        <v>-46.75</v>
      </c>
      <c r="E26" s="32">
        <f t="shared" si="6"/>
        <v>0</v>
      </c>
      <c r="F26" s="32">
        <f t="shared" si="6"/>
        <v>-46.75</v>
      </c>
      <c r="G26" s="32">
        <f t="shared" si="6"/>
        <v>-46.75</v>
      </c>
      <c r="H26" s="32">
        <f t="shared" si="6"/>
        <v>-67.881</v>
      </c>
      <c r="I26" s="32">
        <f t="shared" si="6"/>
        <v>-74.052000000000007</v>
      </c>
      <c r="J26" s="32">
        <f t="shared" si="6"/>
        <v>0</v>
      </c>
      <c r="K26" s="32">
        <f t="shared" si="6"/>
        <v>0</v>
      </c>
      <c r="L26" s="32">
        <f t="shared" si="6"/>
        <v>0</v>
      </c>
      <c r="M26" s="32">
        <f t="shared" si="6"/>
        <v>0</v>
      </c>
      <c r="N26" s="32">
        <f t="shared" si="6"/>
        <v>-86.394000000000005</v>
      </c>
      <c r="O26" s="32">
        <f t="shared" si="6"/>
        <v>-86.394000000000005</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-74.052000000000007</v>
      </c>
      <c r="Z26" s="32">
        <f t="shared" si="6"/>
        <v>-74.052000000000007</v>
      </c>
      <c r="AA26" s="32">
        <f t="shared" si="6"/>
        <v>-74.052000000000007</v>
      </c>
      <c r="AB26" s="172">
        <f t="shared" si="6"/>
        <v>-74.052000000000007</v>
      </c>
      <c r="AC26" s="28">
        <f>-IF(ISBLANK(AC105),0,MIN(AC$22*$H$10,AC$22-$B$7*$H$9))</f>
        <v>0</v>
      </c>
      <c r="AD26" s="29"/>
      <c r="AE26" s="29"/>
      <c r="AF26" s="29"/>
      <c r="AG26" s="29"/>
      <c r="AH26" s="29"/>
    </row>
    <row r="27" spans="1:34" s="30" customFormat="1" x14ac:dyDescent="0.2">
      <c r="A27" s="24" t="s">
        <v>111</v>
      </c>
      <c r="B27" s="32">
        <f t="shared" ref="B27:AB27" si="7">SUM(B25:B26)</f>
        <v>204</v>
      </c>
      <c r="C27" s="32">
        <f t="shared" si="7"/>
        <v>204</v>
      </c>
      <c r="D27" s="32">
        <f t="shared" si="7"/>
        <v>204</v>
      </c>
      <c r="E27" s="32">
        <f t="shared" si="7"/>
        <v>250.75</v>
      </c>
      <c r="F27" s="32">
        <f t="shared" si="7"/>
        <v>204</v>
      </c>
      <c r="G27" s="32">
        <f t="shared" si="7"/>
        <v>204</v>
      </c>
      <c r="H27" s="32">
        <f t="shared" si="7"/>
        <v>206.244</v>
      </c>
      <c r="I27" s="32">
        <f t="shared" si="7"/>
        <v>223.44799999999998</v>
      </c>
      <c r="J27" s="32">
        <f t="shared" si="7"/>
        <v>426.27499999999998</v>
      </c>
      <c r="K27" s="32">
        <f t="shared" si="7"/>
        <v>344.25</v>
      </c>
      <c r="L27" s="32">
        <f t="shared" si="7"/>
        <v>449.65</v>
      </c>
      <c r="M27" s="32">
        <f t="shared" si="7"/>
        <v>449.65</v>
      </c>
      <c r="N27" s="32">
        <f t="shared" si="7"/>
        <v>257.85599999999999</v>
      </c>
      <c r="O27" s="32">
        <f t="shared" si="7"/>
        <v>257.85599999999999</v>
      </c>
      <c r="P27" s="32">
        <f t="shared" si="7"/>
        <v>449.65</v>
      </c>
      <c r="Q27" s="32">
        <f t="shared" si="7"/>
        <v>204.00000000000003</v>
      </c>
      <c r="R27" s="32">
        <f t="shared" si="7"/>
        <v>496.40000000000009</v>
      </c>
      <c r="S27" s="32">
        <f t="shared" si="7"/>
        <v>496.40000000000009</v>
      </c>
      <c r="T27" s="32">
        <f t="shared" si="7"/>
        <v>496.40000000000009</v>
      </c>
      <c r="U27" s="32">
        <f t="shared" si="7"/>
        <v>496.40000000000009</v>
      </c>
      <c r="V27" s="32">
        <f t="shared" si="7"/>
        <v>496.40000000000009</v>
      </c>
      <c r="W27" s="32">
        <f t="shared" si="7"/>
        <v>449.65</v>
      </c>
      <c r="X27" s="32">
        <f t="shared" si="7"/>
        <v>204.00000000000003</v>
      </c>
      <c r="Y27" s="32">
        <f t="shared" si="7"/>
        <v>223.44799999999998</v>
      </c>
      <c r="Z27" s="32">
        <f t="shared" si="7"/>
        <v>223.44799999999998</v>
      </c>
      <c r="AA27" s="32">
        <f t="shared" si="7"/>
        <v>223.44799999999998</v>
      </c>
      <c r="AB27" s="172">
        <f t="shared" si="7"/>
        <v>223.44799999999998</v>
      </c>
      <c r="AC27" s="28">
        <f>SUM(AC25:AC26)</f>
        <v>204.00000000000003</v>
      </c>
      <c r="AD27" s="29"/>
      <c r="AE27" s="29"/>
      <c r="AF27" s="29"/>
      <c r="AG27" s="29"/>
      <c r="AH27" s="29"/>
    </row>
    <row r="28" spans="1:34" s="30" customFormat="1" x14ac:dyDescent="0.2">
      <c r="A28" s="31" t="s">
        <v>112</v>
      </c>
      <c r="B28" s="32">
        <f>AVERAGE(AA22:AB22,B22)</f>
        <v>264.91666666666669</v>
      </c>
      <c r="C28" s="32">
        <f>AVERAGE(AB22,B22:C22)</f>
        <v>249.33333333333334</v>
      </c>
      <c r="D28" s="32">
        <f t="shared" ref="D28:AB28" si="8">AVERAGE(B22:D22)</f>
        <v>233.75</v>
      </c>
      <c r="E28" s="32">
        <f t="shared" si="8"/>
        <v>233.75</v>
      </c>
      <c r="F28" s="32">
        <f t="shared" si="8"/>
        <v>233.75</v>
      </c>
      <c r="G28" s="32">
        <f t="shared" si="8"/>
        <v>233.75</v>
      </c>
      <c r="H28" s="32">
        <f t="shared" si="8"/>
        <v>241.54166666666666</v>
      </c>
      <c r="I28" s="32">
        <f t="shared" si="8"/>
        <v>257.125</v>
      </c>
      <c r="J28" s="32">
        <f t="shared" si="8"/>
        <v>280.5</v>
      </c>
      <c r="K28" s="32">
        <f t="shared" si="8"/>
        <v>303.875</v>
      </c>
      <c r="L28" s="32">
        <f t="shared" si="8"/>
        <v>319.45833333333331</v>
      </c>
      <c r="M28" s="32">
        <f t="shared" si="8"/>
        <v>327.25</v>
      </c>
      <c r="N28" s="32">
        <f t="shared" si="8"/>
        <v>327.25</v>
      </c>
      <c r="O28" s="32">
        <f t="shared" si="8"/>
        <v>327.25</v>
      </c>
      <c r="P28" s="32">
        <f t="shared" si="8"/>
        <v>327.25</v>
      </c>
      <c r="Q28" s="32">
        <f t="shared" si="8"/>
        <v>280.5</v>
      </c>
      <c r="R28" s="32">
        <f t="shared" si="8"/>
        <v>296.08333333333331</v>
      </c>
      <c r="S28" s="32">
        <f t="shared" si="8"/>
        <v>311.66666666666674</v>
      </c>
      <c r="T28" s="32">
        <f t="shared" si="8"/>
        <v>374.00000000000006</v>
      </c>
      <c r="U28" s="32">
        <f t="shared" si="8"/>
        <v>374.00000000000006</v>
      </c>
      <c r="V28" s="32">
        <f t="shared" si="8"/>
        <v>374.00000000000006</v>
      </c>
      <c r="W28" s="32">
        <f t="shared" si="8"/>
        <v>358.41666666666669</v>
      </c>
      <c r="X28" s="32">
        <f t="shared" si="8"/>
        <v>296.08333333333331</v>
      </c>
      <c r="Y28" s="32">
        <f t="shared" si="8"/>
        <v>264.91666666666669</v>
      </c>
      <c r="Z28" s="32">
        <f t="shared" si="8"/>
        <v>249.33333333333334</v>
      </c>
      <c r="AA28" s="32">
        <f t="shared" si="8"/>
        <v>280.5</v>
      </c>
      <c r="AB28" s="172">
        <f t="shared" si="8"/>
        <v>280.5</v>
      </c>
      <c r="AC28" s="28">
        <f>SUM(AC25:AC26)</f>
        <v>204.00000000000003</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34</v>
      </c>
      <c r="C30" s="32">
        <f t="shared" si="9"/>
        <v>34</v>
      </c>
      <c r="D30" s="32">
        <f t="shared" si="9"/>
        <v>34</v>
      </c>
      <c r="E30" s="32">
        <f t="shared" si="9"/>
        <v>0</v>
      </c>
      <c r="F30" s="32">
        <f t="shared" si="9"/>
        <v>34</v>
      </c>
      <c r="G30" s="32">
        <f t="shared" si="9"/>
        <v>34</v>
      </c>
      <c r="H30" s="32">
        <f t="shared" si="9"/>
        <v>34</v>
      </c>
      <c r="I30" s="32">
        <f t="shared" si="9"/>
        <v>34</v>
      </c>
      <c r="J30" s="32">
        <f t="shared" si="9"/>
        <v>0</v>
      </c>
      <c r="K30" s="32">
        <f t="shared" si="9"/>
        <v>0</v>
      </c>
      <c r="L30" s="32">
        <f t="shared" si="9"/>
        <v>0</v>
      </c>
      <c r="M30" s="32">
        <f t="shared" si="9"/>
        <v>0</v>
      </c>
      <c r="N30" s="32">
        <f t="shared" si="9"/>
        <v>34</v>
      </c>
      <c r="O30" s="32">
        <f t="shared" si="9"/>
        <v>34</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34</v>
      </c>
      <c r="Z30" s="32">
        <f t="shared" si="9"/>
        <v>34</v>
      </c>
      <c r="AA30" s="32">
        <f t="shared" si="9"/>
        <v>34</v>
      </c>
      <c r="AB30" s="172">
        <f t="shared" si="9"/>
        <v>34</v>
      </c>
      <c r="AC30" s="28">
        <f t="shared" si="9"/>
        <v>34</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0.45582916249582905</v>
      </c>
      <c r="C34" s="36">
        <f t="shared" ref="C34:AC34" si="11">((C36*$B$143)/$B$2)</f>
        <v>0.45582916249582905</v>
      </c>
      <c r="D34" s="36">
        <f t="shared" si="11"/>
        <v>0.45582916249582905</v>
      </c>
      <c r="E34" s="36">
        <f t="shared" si="11"/>
        <v>0.45582916249582905</v>
      </c>
      <c r="F34" s="36">
        <f t="shared" si="11"/>
        <v>0.45582916249582905</v>
      </c>
      <c r="G34" s="36">
        <f t="shared" si="11"/>
        <v>0.45582916249582905</v>
      </c>
      <c r="H34" s="36">
        <f t="shared" si="11"/>
        <v>0.52094761428094749</v>
      </c>
      <c r="I34" s="36">
        <f t="shared" si="11"/>
        <v>0.52094761428094749</v>
      </c>
      <c r="J34" s="36">
        <f t="shared" si="11"/>
        <v>0.52094761428094749</v>
      </c>
      <c r="K34" s="36">
        <f t="shared" si="11"/>
        <v>0.58606606606606593</v>
      </c>
      <c r="L34" s="36">
        <f t="shared" si="11"/>
        <v>0.58606606606606593</v>
      </c>
      <c r="M34" s="36">
        <f t="shared" si="11"/>
        <v>0.58606606606606593</v>
      </c>
      <c r="N34" s="36">
        <f t="shared" si="11"/>
        <v>0.65118451785118436</v>
      </c>
      <c r="O34" s="36">
        <f t="shared" si="11"/>
        <v>0.65118451785118436</v>
      </c>
      <c r="P34" s="36">
        <f t="shared" si="11"/>
        <v>0.65118451785118436</v>
      </c>
      <c r="Q34" s="36">
        <f t="shared" si="11"/>
        <v>0.65118451785118436</v>
      </c>
      <c r="R34" s="36">
        <f t="shared" si="11"/>
        <v>0.65118451785118436</v>
      </c>
      <c r="S34" s="36">
        <f t="shared" si="11"/>
        <v>0.65118451785118436</v>
      </c>
      <c r="T34" s="36">
        <f t="shared" si="11"/>
        <v>0.65118451785118436</v>
      </c>
      <c r="U34" s="36">
        <f t="shared" si="11"/>
        <v>0.65118451785118436</v>
      </c>
      <c r="V34" s="36">
        <f t="shared" si="11"/>
        <v>0.65118451785118436</v>
      </c>
      <c r="W34" s="36">
        <f t="shared" si="11"/>
        <v>0.65118451785118436</v>
      </c>
      <c r="X34" s="36">
        <f t="shared" si="11"/>
        <v>0.65118451785118436</v>
      </c>
      <c r="Y34" s="36">
        <f t="shared" si="11"/>
        <v>0.65118451785118436</v>
      </c>
      <c r="Z34" s="36">
        <f t="shared" si="11"/>
        <v>0.65118451785118436</v>
      </c>
      <c r="AA34" s="36">
        <f t="shared" si="11"/>
        <v>0.65118451785118436</v>
      </c>
      <c r="AB34" s="36">
        <f t="shared" si="11"/>
        <v>0.65118451785118436</v>
      </c>
      <c r="AC34" s="36">
        <f t="shared" si="11"/>
        <v>0.45582916249582905</v>
      </c>
      <c r="AD34" s="26"/>
      <c r="AE34" s="26"/>
      <c r="AF34" s="26"/>
      <c r="AG34" s="26"/>
      <c r="AH34" s="26"/>
    </row>
    <row r="35" spans="1:34" s="30" customFormat="1" x14ac:dyDescent="0.2">
      <c r="A35" s="24" t="s">
        <v>119</v>
      </c>
      <c r="B35" s="132">
        <f t="shared" ref="B35:AC35" si="12">ROUND($B$2*B$32,2)</f>
        <v>7.7</v>
      </c>
      <c r="C35" s="132">
        <f t="shared" si="12"/>
        <v>7.7</v>
      </c>
      <c r="D35" s="132">
        <f t="shared" si="12"/>
        <v>7.7</v>
      </c>
      <c r="E35" s="132">
        <f t="shared" si="12"/>
        <v>7.7</v>
      </c>
      <c r="F35" s="132">
        <f t="shared" si="12"/>
        <v>7.7</v>
      </c>
      <c r="G35" s="132">
        <f t="shared" si="12"/>
        <v>7.7</v>
      </c>
      <c r="H35" s="132">
        <f t="shared" si="12"/>
        <v>8.8000000000000007</v>
      </c>
      <c r="I35" s="132">
        <f t="shared" si="12"/>
        <v>8.8000000000000007</v>
      </c>
      <c r="J35" s="132">
        <f t="shared" si="12"/>
        <v>8.8000000000000007</v>
      </c>
      <c r="K35" s="132">
        <f t="shared" si="12"/>
        <v>9.9</v>
      </c>
      <c r="L35" s="132">
        <f t="shared" si="12"/>
        <v>9.9</v>
      </c>
      <c r="M35" s="132">
        <f t="shared" si="12"/>
        <v>9.9</v>
      </c>
      <c r="N35" s="132">
        <f t="shared" si="12"/>
        <v>11</v>
      </c>
      <c r="O35" s="132">
        <f t="shared" si="12"/>
        <v>11</v>
      </c>
      <c r="P35" s="132">
        <f t="shared" si="12"/>
        <v>11</v>
      </c>
      <c r="Q35" s="132">
        <f t="shared" si="12"/>
        <v>11</v>
      </c>
      <c r="R35" s="132">
        <f t="shared" si="12"/>
        <v>11</v>
      </c>
      <c r="S35" s="132">
        <f t="shared" si="12"/>
        <v>11</v>
      </c>
      <c r="T35" s="132">
        <f t="shared" si="12"/>
        <v>11</v>
      </c>
      <c r="U35" s="132">
        <f t="shared" si="12"/>
        <v>11</v>
      </c>
      <c r="V35" s="132">
        <f t="shared" si="12"/>
        <v>11</v>
      </c>
      <c r="W35" s="132">
        <f t="shared" si="12"/>
        <v>11</v>
      </c>
      <c r="X35" s="132">
        <f t="shared" si="12"/>
        <v>11</v>
      </c>
      <c r="Y35" s="132">
        <f t="shared" si="12"/>
        <v>11</v>
      </c>
      <c r="Z35" s="132">
        <f t="shared" si="12"/>
        <v>11</v>
      </c>
      <c r="AA35" s="132">
        <f t="shared" si="12"/>
        <v>11</v>
      </c>
      <c r="AB35" s="192">
        <f t="shared" si="12"/>
        <v>11</v>
      </c>
      <c r="AC35" s="132">
        <f t="shared" si="12"/>
        <v>7.7</v>
      </c>
      <c r="AD35" s="26"/>
      <c r="AE35" s="26"/>
      <c r="AF35" s="26"/>
      <c r="AG35" s="26"/>
      <c r="AH35" s="26"/>
    </row>
    <row r="36" spans="1:34" x14ac:dyDescent="0.2">
      <c r="A36" s="24" t="s">
        <v>120</v>
      </c>
      <c r="B36" s="132">
        <f t="shared" ref="B36:AC36" si="13">ROUND($B$2*B$33,2)</f>
        <v>6.16</v>
      </c>
      <c r="C36" s="132">
        <f t="shared" si="13"/>
        <v>6.16</v>
      </c>
      <c r="D36" s="132">
        <f t="shared" si="13"/>
        <v>6.16</v>
      </c>
      <c r="E36" s="132">
        <f t="shared" si="13"/>
        <v>6.16</v>
      </c>
      <c r="F36" s="132">
        <f t="shared" si="13"/>
        <v>6.16</v>
      </c>
      <c r="G36" s="132">
        <f t="shared" si="13"/>
        <v>6.16</v>
      </c>
      <c r="H36" s="132">
        <f t="shared" si="13"/>
        <v>7.04</v>
      </c>
      <c r="I36" s="132">
        <f t="shared" si="13"/>
        <v>7.04</v>
      </c>
      <c r="J36" s="132">
        <f t="shared" si="13"/>
        <v>7.04</v>
      </c>
      <c r="K36" s="132">
        <f t="shared" si="13"/>
        <v>7.92</v>
      </c>
      <c r="L36" s="132">
        <f t="shared" si="13"/>
        <v>7.92</v>
      </c>
      <c r="M36" s="132">
        <f t="shared" si="13"/>
        <v>7.92</v>
      </c>
      <c r="N36" s="132">
        <f t="shared" si="13"/>
        <v>8.8000000000000007</v>
      </c>
      <c r="O36" s="132">
        <f t="shared" si="13"/>
        <v>8.8000000000000007</v>
      </c>
      <c r="P36" s="132">
        <f t="shared" si="13"/>
        <v>8.8000000000000007</v>
      </c>
      <c r="Q36" s="132">
        <f t="shared" si="13"/>
        <v>8.8000000000000007</v>
      </c>
      <c r="R36" s="132">
        <f t="shared" si="13"/>
        <v>8.8000000000000007</v>
      </c>
      <c r="S36" s="132">
        <f t="shared" si="13"/>
        <v>8.8000000000000007</v>
      </c>
      <c r="T36" s="132">
        <f t="shared" si="13"/>
        <v>8.8000000000000007</v>
      </c>
      <c r="U36" s="132">
        <f t="shared" si="13"/>
        <v>8.8000000000000007</v>
      </c>
      <c r="V36" s="132">
        <f t="shared" si="13"/>
        <v>8.8000000000000007</v>
      </c>
      <c r="W36" s="132">
        <f t="shared" si="13"/>
        <v>8.8000000000000007</v>
      </c>
      <c r="X36" s="132">
        <f t="shared" si="13"/>
        <v>8.8000000000000007</v>
      </c>
      <c r="Y36" s="132">
        <f t="shared" si="13"/>
        <v>8.8000000000000007</v>
      </c>
      <c r="Z36" s="132">
        <f t="shared" si="13"/>
        <v>8.8000000000000007</v>
      </c>
      <c r="AA36" s="132">
        <f t="shared" si="13"/>
        <v>8.8000000000000007</v>
      </c>
      <c r="AB36" s="192">
        <f t="shared" si="13"/>
        <v>8.8000000000000007</v>
      </c>
      <c r="AC36" s="132">
        <f t="shared" si="13"/>
        <v>6.16</v>
      </c>
      <c r="AD36" s="14"/>
      <c r="AE36" s="14"/>
      <c r="AF36" s="14"/>
      <c r="AG36" s="14"/>
      <c r="AH36" s="14"/>
    </row>
    <row r="37" spans="1:34" x14ac:dyDescent="0.2">
      <c r="A37" s="202" t="s">
        <v>121</v>
      </c>
      <c r="B37" s="360">
        <f>B34*$B$2</f>
        <v>5.0141207874541198</v>
      </c>
      <c r="C37" s="360">
        <f t="shared" ref="C37:AC37" si="14">C34*$B$2</f>
        <v>5.0141207874541198</v>
      </c>
      <c r="D37" s="360">
        <f t="shared" si="14"/>
        <v>5.0141207874541198</v>
      </c>
      <c r="E37" s="360">
        <f t="shared" si="14"/>
        <v>5.0141207874541198</v>
      </c>
      <c r="F37" s="360">
        <f t="shared" si="14"/>
        <v>5.0141207874541198</v>
      </c>
      <c r="G37" s="360">
        <f t="shared" si="14"/>
        <v>5.0141207874541198</v>
      </c>
      <c r="H37" s="360">
        <f t="shared" si="14"/>
        <v>5.7304237570904224</v>
      </c>
      <c r="I37" s="360">
        <f t="shared" si="14"/>
        <v>5.7304237570904224</v>
      </c>
      <c r="J37" s="360">
        <f t="shared" si="14"/>
        <v>5.7304237570904224</v>
      </c>
      <c r="K37" s="360">
        <f t="shared" si="14"/>
        <v>6.446726726726725</v>
      </c>
      <c r="L37" s="360">
        <f t="shared" si="14"/>
        <v>6.446726726726725</v>
      </c>
      <c r="M37" s="360">
        <f t="shared" si="14"/>
        <v>6.446726726726725</v>
      </c>
      <c r="N37" s="360">
        <f t="shared" si="14"/>
        <v>7.1630296963630276</v>
      </c>
      <c r="O37" s="360">
        <f t="shared" si="14"/>
        <v>7.1630296963630276</v>
      </c>
      <c r="P37" s="360">
        <f t="shared" si="14"/>
        <v>7.1630296963630276</v>
      </c>
      <c r="Q37" s="360">
        <f t="shared" si="14"/>
        <v>7.1630296963630276</v>
      </c>
      <c r="R37" s="360">
        <f t="shared" si="14"/>
        <v>7.1630296963630276</v>
      </c>
      <c r="S37" s="360">
        <f t="shared" si="14"/>
        <v>7.1630296963630276</v>
      </c>
      <c r="T37" s="360">
        <f t="shared" si="14"/>
        <v>7.1630296963630276</v>
      </c>
      <c r="U37" s="360">
        <f t="shared" si="14"/>
        <v>7.1630296963630276</v>
      </c>
      <c r="V37" s="360">
        <f t="shared" si="14"/>
        <v>7.1630296963630276</v>
      </c>
      <c r="W37" s="360">
        <f t="shared" si="14"/>
        <v>7.1630296963630276</v>
      </c>
      <c r="X37" s="360">
        <f t="shared" si="14"/>
        <v>7.1630296963630276</v>
      </c>
      <c r="Y37" s="360">
        <f t="shared" si="14"/>
        <v>7.1630296963630276</v>
      </c>
      <c r="Z37" s="360">
        <f t="shared" si="14"/>
        <v>7.1630296963630276</v>
      </c>
      <c r="AA37" s="360">
        <f t="shared" si="14"/>
        <v>7.1630296963630276</v>
      </c>
      <c r="AB37" s="360">
        <f t="shared" si="14"/>
        <v>7.1630296963630276</v>
      </c>
      <c r="AC37" s="360">
        <f t="shared" si="14"/>
        <v>5.0141207874541198</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4.2964964964964949</v>
      </c>
      <c r="C39" s="323">
        <f t="shared" si="15"/>
        <v>4.2964964964964949</v>
      </c>
      <c r="D39" s="323">
        <f t="shared" si="15"/>
        <v>4.2964964964964949</v>
      </c>
      <c r="E39" s="323">
        <f t="shared" si="15"/>
        <v>4.2964964964964949</v>
      </c>
      <c r="F39" s="323">
        <f t="shared" si="15"/>
        <v>4.2964964964964949</v>
      </c>
      <c r="G39" s="323">
        <f t="shared" si="15"/>
        <v>4.2964964964964949</v>
      </c>
      <c r="H39" s="323">
        <f t="shared" si="15"/>
        <v>4.9102817102817085</v>
      </c>
      <c r="I39" s="323">
        <f t="shared" si="15"/>
        <v>4.9102817102817085</v>
      </c>
      <c r="J39" s="323">
        <f t="shared" si="15"/>
        <v>4.9102817102817085</v>
      </c>
      <c r="K39" s="323">
        <f t="shared" si="15"/>
        <v>5.524066924066922</v>
      </c>
      <c r="L39" s="323">
        <f t="shared" si="15"/>
        <v>5.524066924066922</v>
      </c>
      <c r="M39" s="323">
        <f t="shared" si="15"/>
        <v>5.524066924066922</v>
      </c>
      <c r="N39" s="323">
        <f t="shared" si="15"/>
        <v>6.1378521378521356</v>
      </c>
      <c r="O39" s="323">
        <f t="shared" si="15"/>
        <v>6.1378521378521356</v>
      </c>
      <c r="P39" s="323">
        <f t="shared" si="15"/>
        <v>6.1378521378521356</v>
      </c>
      <c r="Q39" s="323">
        <f t="shared" si="15"/>
        <v>6.1378521378521356</v>
      </c>
      <c r="R39" s="323">
        <f t="shared" si="15"/>
        <v>6.1378521378521356</v>
      </c>
      <c r="S39" s="323">
        <f t="shared" si="15"/>
        <v>6.1378521378521356</v>
      </c>
      <c r="T39" s="323">
        <f t="shared" si="15"/>
        <v>6.1378521378521356</v>
      </c>
      <c r="U39" s="323">
        <f t="shared" si="15"/>
        <v>6.1378521378521356</v>
      </c>
      <c r="V39" s="323">
        <f t="shared" si="15"/>
        <v>6.1378521378521356</v>
      </c>
      <c r="W39" s="323">
        <f t="shared" si="15"/>
        <v>6.1378521378521356</v>
      </c>
      <c r="X39" s="323">
        <f t="shared" si="15"/>
        <v>6.1378521378521356</v>
      </c>
      <c r="Y39" s="323">
        <f t="shared" si="15"/>
        <v>6.1378521378521356</v>
      </c>
      <c r="Z39" s="323">
        <f t="shared" si="15"/>
        <v>6.1378521378521356</v>
      </c>
      <c r="AA39" s="323">
        <f t="shared" si="15"/>
        <v>6.1378521378521356</v>
      </c>
      <c r="AB39" s="323">
        <f t="shared" si="15"/>
        <v>6.1378521378521356</v>
      </c>
      <c r="AC39" s="323">
        <f t="shared" si="15"/>
        <v>4.2964964964964949</v>
      </c>
      <c r="AD39" s="224"/>
      <c r="AE39" s="224"/>
    </row>
    <row r="40" spans="1:34" s="225" customFormat="1" ht="12.75" x14ac:dyDescent="0.2">
      <c r="A40" s="240" t="s">
        <v>124</v>
      </c>
      <c r="B40" s="323">
        <f t="shared" ref="B40:AC40" si="16">IF($B145&gt;=0.9, B$36,B$36*$B145)</f>
        <v>0.93549549549549538</v>
      </c>
      <c r="C40" s="323">
        <f t="shared" si="16"/>
        <v>0.93549549549549538</v>
      </c>
      <c r="D40" s="323">
        <f t="shared" si="16"/>
        <v>0.93549549549549538</v>
      </c>
      <c r="E40" s="323">
        <f t="shared" si="16"/>
        <v>0.93549549549549538</v>
      </c>
      <c r="F40" s="323">
        <f t="shared" si="16"/>
        <v>0.93549549549549538</v>
      </c>
      <c r="G40" s="323">
        <f t="shared" si="16"/>
        <v>0.93549549549549538</v>
      </c>
      <c r="H40" s="323">
        <f t="shared" si="16"/>
        <v>1.069137709137709</v>
      </c>
      <c r="I40" s="323">
        <f t="shared" si="16"/>
        <v>1.069137709137709</v>
      </c>
      <c r="J40" s="323">
        <f t="shared" si="16"/>
        <v>1.069137709137709</v>
      </c>
      <c r="K40" s="323">
        <f t="shared" si="16"/>
        <v>1.2027799227799227</v>
      </c>
      <c r="L40" s="323">
        <f t="shared" si="16"/>
        <v>1.2027799227799227</v>
      </c>
      <c r="M40" s="323">
        <f t="shared" si="16"/>
        <v>1.2027799227799227</v>
      </c>
      <c r="N40" s="323">
        <f t="shared" si="16"/>
        <v>1.3364221364221365</v>
      </c>
      <c r="O40" s="323">
        <f t="shared" si="16"/>
        <v>1.3364221364221365</v>
      </c>
      <c r="P40" s="323">
        <f t="shared" si="16"/>
        <v>1.3364221364221365</v>
      </c>
      <c r="Q40" s="323">
        <f t="shared" si="16"/>
        <v>1.3364221364221365</v>
      </c>
      <c r="R40" s="323">
        <f t="shared" si="16"/>
        <v>1.3364221364221365</v>
      </c>
      <c r="S40" s="323">
        <f t="shared" si="16"/>
        <v>1.3364221364221365</v>
      </c>
      <c r="T40" s="323">
        <f t="shared" si="16"/>
        <v>1.3364221364221365</v>
      </c>
      <c r="U40" s="323">
        <f t="shared" si="16"/>
        <v>1.3364221364221365</v>
      </c>
      <c r="V40" s="323">
        <f t="shared" si="16"/>
        <v>1.3364221364221365</v>
      </c>
      <c r="W40" s="323">
        <f t="shared" si="16"/>
        <v>1.3364221364221365</v>
      </c>
      <c r="X40" s="323">
        <f t="shared" si="16"/>
        <v>1.3364221364221365</v>
      </c>
      <c r="Y40" s="323">
        <f t="shared" si="16"/>
        <v>1.3364221364221365</v>
      </c>
      <c r="Z40" s="323">
        <f t="shared" si="16"/>
        <v>1.3364221364221365</v>
      </c>
      <c r="AA40" s="323">
        <f t="shared" si="16"/>
        <v>1.3364221364221365</v>
      </c>
      <c r="AB40" s="323">
        <f t="shared" si="16"/>
        <v>1.3364221364221365</v>
      </c>
      <c r="AC40" s="323">
        <f t="shared" si="16"/>
        <v>0.93549549549549538</v>
      </c>
      <c r="AD40" s="224"/>
      <c r="AE40" s="224"/>
    </row>
    <row r="41" spans="1:34" s="225" customFormat="1" ht="12.75" x14ac:dyDescent="0.2">
      <c r="A41" s="240" t="s">
        <v>125</v>
      </c>
      <c r="B41" s="323">
        <f t="shared" ref="B41:AC41" si="17">IF($B146&gt;=0.9, B$36,B$36*$B146)</f>
        <v>2.4492892892892888</v>
      </c>
      <c r="C41" s="323">
        <f t="shared" si="17"/>
        <v>2.4492892892892888</v>
      </c>
      <c r="D41" s="323">
        <f t="shared" si="17"/>
        <v>2.4492892892892888</v>
      </c>
      <c r="E41" s="323">
        <f t="shared" si="17"/>
        <v>2.4492892892892888</v>
      </c>
      <c r="F41" s="323">
        <f t="shared" si="17"/>
        <v>2.4492892892892888</v>
      </c>
      <c r="G41" s="323">
        <f t="shared" si="17"/>
        <v>2.4492892892892888</v>
      </c>
      <c r="H41" s="323">
        <f t="shared" si="17"/>
        <v>2.7991877591877588</v>
      </c>
      <c r="I41" s="323">
        <f t="shared" si="17"/>
        <v>2.7991877591877588</v>
      </c>
      <c r="J41" s="323">
        <f t="shared" si="17"/>
        <v>2.7991877591877588</v>
      </c>
      <c r="K41" s="323">
        <f t="shared" si="17"/>
        <v>3.1490862290862283</v>
      </c>
      <c r="L41" s="323">
        <f t="shared" si="17"/>
        <v>3.1490862290862283</v>
      </c>
      <c r="M41" s="323">
        <f t="shared" si="17"/>
        <v>3.1490862290862283</v>
      </c>
      <c r="N41" s="323">
        <f t="shared" si="17"/>
        <v>3.4989846989846987</v>
      </c>
      <c r="O41" s="323">
        <f t="shared" si="17"/>
        <v>3.4989846989846987</v>
      </c>
      <c r="P41" s="323">
        <f t="shared" si="17"/>
        <v>3.4989846989846987</v>
      </c>
      <c r="Q41" s="323">
        <f t="shared" si="17"/>
        <v>3.4989846989846987</v>
      </c>
      <c r="R41" s="323">
        <f t="shared" si="17"/>
        <v>3.4989846989846987</v>
      </c>
      <c r="S41" s="323">
        <f t="shared" si="17"/>
        <v>3.4989846989846987</v>
      </c>
      <c r="T41" s="323">
        <f t="shared" si="17"/>
        <v>3.4989846989846987</v>
      </c>
      <c r="U41" s="323">
        <f t="shared" si="17"/>
        <v>3.4989846989846987</v>
      </c>
      <c r="V41" s="323">
        <f t="shared" si="17"/>
        <v>3.4989846989846987</v>
      </c>
      <c r="W41" s="323">
        <f t="shared" si="17"/>
        <v>3.4989846989846987</v>
      </c>
      <c r="X41" s="323">
        <f t="shared" si="17"/>
        <v>3.4989846989846987</v>
      </c>
      <c r="Y41" s="323">
        <f t="shared" si="17"/>
        <v>3.4989846989846987</v>
      </c>
      <c r="Z41" s="323">
        <f t="shared" si="17"/>
        <v>3.4989846989846987</v>
      </c>
      <c r="AA41" s="323">
        <f t="shared" si="17"/>
        <v>3.4989846989846987</v>
      </c>
      <c r="AB41" s="323">
        <f t="shared" si="17"/>
        <v>3.4989846989846987</v>
      </c>
      <c r="AC41" s="323">
        <f t="shared" si="17"/>
        <v>2.4492892892892888</v>
      </c>
      <c r="AD41" s="224"/>
      <c r="AE41" s="224"/>
    </row>
    <row r="42" spans="1:34" s="225" customFormat="1" ht="12.75" x14ac:dyDescent="0.2">
      <c r="A42" s="240" t="s">
        <v>126</v>
      </c>
      <c r="B42" s="323">
        <f t="shared" ref="B42:AC42" si="18">IF($B147&gt;=0.9, B$36,B$36*$B147)</f>
        <v>4.2251451451451434</v>
      </c>
      <c r="C42" s="323">
        <f t="shared" si="18"/>
        <v>4.2251451451451434</v>
      </c>
      <c r="D42" s="323">
        <f t="shared" si="18"/>
        <v>4.2251451451451434</v>
      </c>
      <c r="E42" s="323">
        <f t="shared" si="18"/>
        <v>4.2251451451451434</v>
      </c>
      <c r="F42" s="323">
        <f t="shared" si="18"/>
        <v>4.2251451451451434</v>
      </c>
      <c r="G42" s="323">
        <f t="shared" si="18"/>
        <v>4.2251451451451434</v>
      </c>
      <c r="H42" s="323">
        <f t="shared" si="18"/>
        <v>4.8287373087373071</v>
      </c>
      <c r="I42" s="323">
        <f t="shared" si="18"/>
        <v>4.8287373087373071</v>
      </c>
      <c r="J42" s="323">
        <f t="shared" si="18"/>
        <v>4.8287373087373071</v>
      </c>
      <c r="K42" s="323">
        <f t="shared" si="18"/>
        <v>5.4323294723294699</v>
      </c>
      <c r="L42" s="323">
        <f t="shared" si="18"/>
        <v>5.4323294723294699</v>
      </c>
      <c r="M42" s="323">
        <f t="shared" si="18"/>
        <v>5.4323294723294699</v>
      </c>
      <c r="N42" s="323">
        <f t="shared" si="18"/>
        <v>6.0359216359216346</v>
      </c>
      <c r="O42" s="323">
        <f t="shared" si="18"/>
        <v>6.0359216359216346</v>
      </c>
      <c r="P42" s="323">
        <f t="shared" si="18"/>
        <v>6.0359216359216346</v>
      </c>
      <c r="Q42" s="323">
        <f t="shared" si="18"/>
        <v>6.0359216359216346</v>
      </c>
      <c r="R42" s="323">
        <f t="shared" si="18"/>
        <v>6.0359216359216346</v>
      </c>
      <c r="S42" s="323">
        <f t="shared" si="18"/>
        <v>6.0359216359216346</v>
      </c>
      <c r="T42" s="323">
        <f t="shared" si="18"/>
        <v>6.0359216359216346</v>
      </c>
      <c r="U42" s="323">
        <f t="shared" si="18"/>
        <v>6.0359216359216346</v>
      </c>
      <c r="V42" s="323">
        <f t="shared" si="18"/>
        <v>6.0359216359216346</v>
      </c>
      <c r="W42" s="323">
        <f t="shared" si="18"/>
        <v>6.0359216359216346</v>
      </c>
      <c r="X42" s="323">
        <f t="shared" si="18"/>
        <v>6.0359216359216346</v>
      </c>
      <c r="Y42" s="323">
        <f t="shared" si="18"/>
        <v>6.0359216359216346</v>
      </c>
      <c r="Z42" s="323">
        <f t="shared" si="18"/>
        <v>6.0359216359216346</v>
      </c>
      <c r="AA42" s="323">
        <f t="shared" si="18"/>
        <v>6.0359216359216346</v>
      </c>
      <c r="AB42" s="323">
        <f t="shared" si="18"/>
        <v>6.0359216359216346</v>
      </c>
      <c r="AC42" s="323">
        <f t="shared" si="18"/>
        <v>4.2251451451451434</v>
      </c>
      <c r="AD42" s="224"/>
      <c r="AE42" s="224"/>
    </row>
    <row r="43" spans="1:34" s="225" customFormat="1" ht="12.75" x14ac:dyDescent="0.2">
      <c r="A43" s="240" t="s">
        <v>127</v>
      </c>
      <c r="B43" s="323">
        <f t="shared" ref="B43:AC43" si="19">IF($B148&gt;=0.9, B$36,B$36*$B148)</f>
        <v>4.2964964964964949</v>
      </c>
      <c r="C43" s="323">
        <f t="shared" si="19"/>
        <v>4.2964964964964949</v>
      </c>
      <c r="D43" s="323">
        <f t="shared" si="19"/>
        <v>4.2964964964964949</v>
      </c>
      <c r="E43" s="323">
        <f t="shared" si="19"/>
        <v>4.2964964964964949</v>
      </c>
      <c r="F43" s="323">
        <f t="shared" si="19"/>
        <v>4.2964964964964949</v>
      </c>
      <c r="G43" s="323">
        <f t="shared" si="19"/>
        <v>4.2964964964964949</v>
      </c>
      <c r="H43" s="323">
        <f t="shared" si="19"/>
        <v>4.9102817102817085</v>
      </c>
      <c r="I43" s="323">
        <f t="shared" si="19"/>
        <v>4.9102817102817085</v>
      </c>
      <c r="J43" s="323">
        <f t="shared" si="19"/>
        <v>4.9102817102817085</v>
      </c>
      <c r="K43" s="323">
        <f t="shared" si="19"/>
        <v>5.524066924066922</v>
      </c>
      <c r="L43" s="323">
        <f t="shared" si="19"/>
        <v>5.524066924066922</v>
      </c>
      <c r="M43" s="323">
        <f t="shared" si="19"/>
        <v>5.524066924066922</v>
      </c>
      <c r="N43" s="323">
        <f t="shared" si="19"/>
        <v>6.1378521378521356</v>
      </c>
      <c r="O43" s="323">
        <f t="shared" si="19"/>
        <v>6.1378521378521356</v>
      </c>
      <c r="P43" s="323">
        <f t="shared" si="19"/>
        <v>6.1378521378521356</v>
      </c>
      <c r="Q43" s="323">
        <f t="shared" si="19"/>
        <v>6.1378521378521356</v>
      </c>
      <c r="R43" s="323">
        <f t="shared" si="19"/>
        <v>6.1378521378521356</v>
      </c>
      <c r="S43" s="323">
        <f t="shared" si="19"/>
        <v>6.1378521378521356</v>
      </c>
      <c r="T43" s="323">
        <f t="shared" si="19"/>
        <v>6.1378521378521356</v>
      </c>
      <c r="U43" s="323">
        <f t="shared" si="19"/>
        <v>6.1378521378521356</v>
      </c>
      <c r="V43" s="323">
        <f t="shared" si="19"/>
        <v>6.1378521378521356</v>
      </c>
      <c r="W43" s="323">
        <f t="shared" si="19"/>
        <v>6.1378521378521356</v>
      </c>
      <c r="X43" s="323">
        <f t="shared" si="19"/>
        <v>6.1378521378521356</v>
      </c>
      <c r="Y43" s="323">
        <f t="shared" si="19"/>
        <v>6.1378521378521356</v>
      </c>
      <c r="Z43" s="323">
        <f t="shared" si="19"/>
        <v>6.1378521378521356</v>
      </c>
      <c r="AA43" s="323">
        <f t="shared" si="19"/>
        <v>6.1378521378521356</v>
      </c>
      <c r="AB43" s="323">
        <f t="shared" si="19"/>
        <v>6.1378521378521356</v>
      </c>
      <c r="AC43" s="323">
        <f t="shared" si="19"/>
        <v>4.2964964964964949</v>
      </c>
      <c r="AD43" s="224"/>
      <c r="AE43" s="224"/>
    </row>
    <row r="44" spans="1:34" s="225" customFormat="1" ht="12.75" x14ac:dyDescent="0.2">
      <c r="A44" s="240" t="s">
        <v>128</v>
      </c>
      <c r="B44" s="323">
        <f t="shared" ref="B44:AC44" si="20">IF($B149&gt;=0.9, B$36,B$36*$B149)</f>
        <v>4.2964964964964949</v>
      </c>
      <c r="C44" s="323">
        <f t="shared" si="20"/>
        <v>4.2964964964964949</v>
      </c>
      <c r="D44" s="323">
        <f t="shared" si="20"/>
        <v>4.2964964964964949</v>
      </c>
      <c r="E44" s="323">
        <f t="shared" si="20"/>
        <v>4.2964964964964949</v>
      </c>
      <c r="F44" s="323">
        <f t="shared" si="20"/>
        <v>4.2964964964964949</v>
      </c>
      <c r="G44" s="323">
        <f t="shared" si="20"/>
        <v>4.2964964964964949</v>
      </c>
      <c r="H44" s="323">
        <f t="shared" si="20"/>
        <v>4.9102817102817085</v>
      </c>
      <c r="I44" s="323">
        <f t="shared" si="20"/>
        <v>4.9102817102817085</v>
      </c>
      <c r="J44" s="323">
        <f t="shared" si="20"/>
        <v>4.9102817102817085</v>
      </c>
      <c r="K44" s="323">
        <f t="shared" si="20"/>
        <v>5.524066924066922</v>
      </c>
      <c r="L44" s="323">
        <f t="shared" si="20"/>
        <v>5.524066924066922</v>
      </c>
      <c r="M44" s="323">
        <f t="shared" si="20"/>
        <v>5.524066924066922</v>
      </c>
      <c r="N44" s="323">
        <f t="shared" si="20"/>
        <v>6.1378521378521356</v>
      </c>
      <c r="O44" s="323">
        <f t="shared" si="20"/>
        <v>6.1378521378521356</v>
      </c>
      <c r="P44" s="323">
        <f t="shared" si="20"/>
        <v>6.1378521378521356</v>
      </c>
      <c r="Q44" s="323">
        <f t="shared" si="20"/>
        <v>6.1378521378521356</v>
      </c>
      <c r="R44" s="323">
        <f t="shared" si="20"/>
        <v>6.1378521378521356</v>
      </c>
      <c r="S44" s="323">
        <f t="shared" si="20"/>
        <v>6.1378521378521356</v>
      </c>
      <c r="T44" s="323">
        <f t="shared" si="20"/>
        <v>6.1378521378521356</v>
      </c>
      <c r="U44" s="323">
        <f t="shared" si="20"/>
        <v>6.1378521378521356</v>
      </c>
      <c r="V44" s="323">
        <f t="shared" si="20"/>
        <v>6.1378521378521356</v>
      </c>
      <c r="W44" s="323">
        <f t="shared" si="20"/>
        <v>6.1378521378521356</v>
      </c>
      <c r="X44" s="323">
        <f t="shared" si="20"/>
        <v>6.1378521378521356</v>
      </c>
      <c r="Y44" s="323">
        <f t="shared" si="20"/>
        <v>6.1378521378521356</v>
      </c>
      <c r="Z44" s="323">
        <f t="shared" si="20"/>
        <v>6.1378521378521356</v>
      </c>
      <c r="AA44" s="323">
        <f t="shared" si="20"/>
        <v>6.1378521378521356</v>
      </c>
      <c r="AB44" s="323">
        <f t="shared" si="20"/>
        <v>6.1378521378521356</v>
      </c>
      <c r="AC44" s="323">
        <f t="shared" si="20"/>
        <v>4.2964964964964949</v>
      </c>
      <c r="AD44" s="224"/>
      <c r="AE44" s="224"/>
    </row>
    <row r="45" spans="1:34" s="225" customFormat="1" ht="12.75" x14ac:dyDescent="0.2">
      <c r="A45" s="240" t="s">
        <v>129</v>
      </c>
      <c r="B45" s="323">
        <f>IF(B$13="Deploy",B$36,IF($B150&gt;=0.9, B$36,B$36*$B150))</f>
        <v>2.1528728728728725</v>
      </c>
      <c r="C45" s="323">
        <f t="shared" ref="C45:AC45" si="21">IF(C$13="Deploy",C$36,IF($B150&gt;=0.9, C$36,C$36*$B150))</f>
        <v>2.1528728728728725</v>
      </c>
      <c r="D45" s="323">
        <f t="shared" si="21"/>
        <v>2.1528728728728725</v>
      </c>
      <c r="E45" s="323">
        <f t="shared" si="21"/>
        <v>2.1528728728728725</v>
      </c>
      <c r="F45" s="323">
        <f t="shared" si="21"/>
        <v>2.1528728728728725</v>
      </c>
      <c r="G45" s="323">
        <f t="shared" si="21"/>
        <v>2.1528728728728725</v>
      </c>
      <c r="H45" s="323">
        <f t="shared" si="21"/>
        <v>2.4604261404261401</v>
      </c>
      <c r="I45" s="323">
        <f t="shared" si="21"/>
        <v>2.4604261404261401</v>
      </c>
      <c r="J45" s="323">
        <f t="shared" si="21"/>
        <v>2.4604261404261401</v>
      </c>
      <c r="K45" s="323">
        <f t="shared" si="21"/>
        <v>2.7679794079794076</v>
      </c>
      <c r="L45" s="323">
        <f t="shared" si="21"/>
        <v>2.7679794079794076</v>
      </c>
      <c r="M45" s="323">
        <f t="shared" si="21"/>
        <v>2.7679794079794076</v>
      </c>
      <c r="N45" s="323">
        <f t="shared" si="21"/>
        <v>3.0755326755326751</v>
      </c>
      <c r="O45" s="323">
        <f t="shared" si="21"/>
        <v>3.0755326755326751</v>
      </c>
      <c r="P45" s="323">
        <f t="shared" si="21"/>
        <v>3.0755326755326751</v>
      </c>
      <c r="Q45" s="323">
        <f t="shared" si="21"/>
        <v>3.0755326755326751</v>
      </c>
      <c r="R45" s="323">
        <f t="shared" si="21"/>
        <v>8.8000000000000007</v>
      </c>
      <c r="S45" s="323">
        <f t="shared" si="21"/>
        <v>8.8000000000000007</v>
      </c>
      <c r="T45" s="323">
        <f t="shared" si="21"/>
        <v>8.8000000000000007</v>
      </c>
      <c r="U45" s="323">
        <f t="shared" si="21"/>
        <v>8.8000000000000007</v>
      </c>
      <c r="V45" s="323">
        <f t="shared" si="21"/>
        <v>8.8000000000000007</v>
      </c>
      <c r="W45" s="323">
        <f t="shared" si="21"/>
        <v>8.8000000000000007</v>
      </c>
      <c r="X45" s="323">
        <f t="shared" si="21"/>
        <v>3.0755326755326751</v>
      </c>
      <c r="Y45" s="323">
        <f t="shared" si="21"/>
        <v>3.0755326755326751</v>
      </c>
      <c r="Z45" s="323">
        <f t="shared" si="21"/>
        <v>3.0755326755326751</v>
      </c>
      <c r="AA45" s="323">
        <f t="shared" si="21"/>
        <v>3.0755326755326751</v>
      </c>
      <c r="AB45" s="323">
        <f t="shared" si="21"/>
        <v>3.0755326755326751</v>
      </c>
      <c r="AC45" s="323">
        <f t="shared" si="21"/>
        <v>2.1528728728728725</v>
      </c>
      <c r="AD45" s="224"/>
      <c r="AE45" s="224"/>
    </row>
    <row r="46" spans="1:34" s="225" customFormat="1" ht="12.75" x14ac:dyDescent="0.2">
      <c r="A46" s="240" t="s">
        <v>130</v>
      </c>
      <c r="B46" s="323">
        <f t="shared" ref="B46:AC46" si="22">IF($B151&gt;=0.9, B$36,B$36*$B151)</f>
        <v>4.5858658658658644</v>
      </c>
      <c r="C46" s="323">
        <f t="shared" si="22"/>
        <v>4.5858658658658644</v>
      </c>
      <c r="D46" s="323">
        <f t="shared" si="22"/>
        <v>4.5858658658658644</v>
      </c>
      <c r="E46" s="323">
        <f t="shared" si="22"/>
        <v>4.5858658658658644</v>
      </c>
      <c r="F46" s="323">
        <f t="shared" si="22"/>
        <v>4.5858658658658644</v>
      </c>
      <c r="G46" s="323">
        <f t="shared" si="22"/>
        <v>4.5858658658658644</v>
      </c>
      <c r="H46" s="323">
        <f t="shared" si="22"/>
        <v>5.2409895609895587</v>
      </c>
      <c r="I46" s="323">
        <f t="shared" si="22"/>
        <v>5.2409895609895587</v>
      </c>
      <c r="J46" s="323">
        <f t="shared" si="22"/>
        <v>5.2409895609895587</v>
      </c>
      <c r="K46" s="323">
        <f t="shared" si="22"/>
        <v>5.8961132561132539</v>
      </c>
      <c r="L46" s="323">
        <f t="shared" si="22"/>
        <v>5.8961132561132539</v>
      </c>
      <c r="M46" s="323">
        <f t="shared" si="22"/>
        <v>5.8961132561132539</v>
      </c>
      <c r="N46" s="323">
        <f t="shared" si="22"/>
        <v>6.551236951236949</v>
      </c>
      <c r="O46" s="323">
        <f t="shared" si="22"/>
        <v>6.551236951236949</v>
      </c>
      <c r="P46" s="323">
        <f t="shared" si="22"/>
        <v>6.551236951236949</v>
      </c>
      <c r="Q46" s="323">
        <f t="shared" si="22"/>
        <v>6.551236951236949</v>
      </c>
      <c r="R46" s="323">
        <f t="shared" si="22"/>
        <v>6.551236951236949</v>
      </c>
      <c r="S46" s="323">
        <f t="shared" si="22"/>
        <v>6.551236951236949</v>
      </c>
      <c r="T46" s="323">
        <f t="shared" si="22"/>
        <v>6.551236951236949</v>
      </c>
      <c r="U46" s="323">
        <f t="shared" si="22"/>
        <v>6.551236951236949</v>
      </c>
      <c r="V46" s="323">
        <f t="shared" si="22"/>
        <v>6.551236951236949</v>
      </c>
      <c r="W46" s="323">
        <f t="shared" si="22"/>
        <v>6.551236951236949</v>
      </c>
      <c r="X46" s="323">
        <f t="shared" si="22"/>
        <v>6.551236951236949</v>
      </c>
      <c r="Y46" s="323">
        <f t="shared" si="22"/>
        <v>6.551236951236949</v>
      </c>
      <c r="Z46" s="323">
        <f t="shared" si="22"/>
        <v>6.551236951236949</v>
      </c>
      <c r="AA46" s="323">
        <f t="shared" si="22"/>
        <v>6.551236951236949</v>
      </c>
      <c r="AB46" s="323">
        <f t="shared" si="22"/>
        <v>6.551236951236949</v>
      </c>
      <c r="AC46" s="323">
        <f t="shared" si="22"/>
        <v>4.5858658658658644</v>
      </c>
      <c r="AD46" s="224"/>
      <c r="AE46" s="224"/>
    </row>
    <row r="47" spans="1:34" s="225" customFormat="1" ht="12.75" x14ac:dyDescent="0.2">
      <c r="A47" s="240" t="s">
        <v>131</v>
      </c>
      <c r="B47" s="323">
        <f>IF(B$13="Deploy",B$36,IF($B152&gt;=0.9, B$36,B$36*$B152))</f>
        <v>2.0081881881881878</v>
      </c>
      <c r="C47" s="323">
        <f t="shared" ref="C47:AC47" si="23">IF(C$13="Deploy",C$36,IF($B152&gt;=0.9, C$36,C$36*$B152))</f>
        <v>2.0081881881881878</v>
      </c>
      <c r="D47" s="323">
        <f t="shared" si="23"/>
        <v>2.0081881881881878</v>
      </c>
      <c r="E47" s="323">
        <f t="shared" si="23"/>
        <v>2.0081881881881878</v>
      </c>
      <c r="F47" s="323">
        <f t="shared" si="23"/>
        <v>2.0081881881881878</v>
      </c>
      <c r="G47" s="323">
        <f t="shared" si="23"/>
        <v>2.0081881881881878</v>
      </c>
      <c r="H47" s="323">
        <f t="shared" si="23"/>
        <v>2.2950722150722145</v>
      </c>
      <c r="I47" s="323">
        <f t="shared" si="23"/>
        <v>2.2950722150722145</v>
      </c>
      <c r="J47" s="323">
        <f t="shared" si="23"/>
        <v>2.2950722150722145</v>
      </c>
      <c r="K47" s="323">
        <f t="shared" si="23"/>
        <v>2.5819562419562416</v>
      </c>
      <c r="L47" s="323">
        <f t="shared" si="23"/>
        <v>2.5819562419562416</v>
      </c>
      <c r="M47" s="323">
        <f t="shared" si="23"/>
        <v>2.5819562419562416</v>
      </c>
      <c r="N47" s="323">
        <f t="shared" si="23"/>
        <v>2.8688402688402683</v>
      </c>
      <c r="O47" s="323">
        <f t="shared" si="23"/>
        <v>2.8688402688402683</v>
      </c>
      <c r="P47" s="323">
        <f t="shared" si="23"/>
        <v>2.8688402688402683</v>
      </c>
      <c r="Q47" s="323">
        <f t="shared" si="23"/>
        <v>2.8688402688402683</v>
      </c>
      <c r="R47" s="323">
        <f t="shared" si="23"/>
        <v>8.8000000000000007</v>
      </c>
      <c r="S47" s="323">
        <f t="shared" si="23"/>
        <v>8.8000000000000007</v>
      </c>
      <c r="T47" s="323">
        <f t="shared" si="23"/>
        <v>8.8000000000000007</v>
      </c>
      <c r="U47" s="323">
        <f t="shared" si="23"/>
        <v>8.8000000000000007</v>
      </c>
      <c r="V47" s="323">
        <f t="shared" si="23"/>
        <v>8.8000000000000007</v>
      </c>
      <c r="W47" s="323">
        <f t="shared" si="23"/>
        <v>8.8000000000000007</v>
      </c>
      <c r="X47" s="323">
        <f t="shared" si="23"/>
        <v>2.8688402688402683</v>
      </c>
      <c r="Y47" s="323">
        <f t="shared" si="23"/>
        <v>2.8688402688402683</v>
      </c>
      <c r="Z47" s="323">
        <f t="shared" si="23"/>
        <v>2.8688402688402683</v>
      </c>
      <c r="AA47" s="323">
        <f t="shared" si="23"/>
        <v>2.8688402688402683</v>
      </c>
      <c r="AB47" s="323">
        <f t="shared" si="23"/>
        <v>2.8688402688402683</v>
      </c>
      <c r="AC47" s="323">
        <f t="shared" si="23"/>
        <v>2.0081881881881878</v>
      </c>
      <c r="AD47" s="224"/>
      <c r="AE47" s="224"/>
    </row>
    <row r="48" spans="1:34" s="225" customFormat="1" ht="12.75" x14ac:dyDescent="0.2">
      <c r="A48" s="240" t="s">
        <v>132</v>
      </c>
      <c r="B48" s="323">
        <f t="shared" ref="B48:AC48" si="24">IF($B153&gt;=0.9, B$36,B$36*$B153)</f>
        <v>6.16</v>
      </c>
      <c r="C48" s="323">
        <f t="shared" si="24"/>
        <v>6.16</v>
      </c>
      <c r="D48" s="323">
        <f t="shared" si="24"/>
        <v>6.16</v>
      </c>
      <c r="E48" s="323">
        <f t="shared" si="24"/>
        <v>6.16</v>
      </c>
      <c r="F48" s="323">
        <f t="shared" si="24"/>
        <v>6.16</v>
      </c>
      <c r="G48" s="323">
        <f t="shared" si="24"/>
        <v>6.16</v>
      </c>
      <c r="H48" s="323">
        <f t="shared" si="24"/>
        <v>7.04</v>
      </c>
      <c r="I48" s="323">
        <f t="shared" si="24"/>
        <v>7.04</v>
      </c>
      <c r="J48" s="323">
        <f t="shared" si="24"/>
        <v>7.04</v>
      </c>
      <c r="K48" s="323">
        <f t="shared" si="24"/>
        <v>7.92</v>
      </c>
      <c r="L48" s="323">
        <f t="shared" si="24"/>
        <v>7.92</v>
      </c>
      <c r="M48" s="323">
        <f t="shared" si="24"/>
        <v>7.92</v>
      </c>
      <c r="N48" s="323">
        <f t="shared" si="24"/>
        <v>8.8000000000000007</v>
      </c>
      <c r="O48" s="323">
        <f t="shared" si="24"/>
        <v>8.8000000000000007</v>
      </c>
      <c r="P48" s="323">
        <f t="shared" si="24"/>
        <v>8.8000000000000007</v>
      </c>
      <c r="Q48" s="323">
        <f t="shared" si="24"/>
        <v>8.8000000000000007</v>
      </c>
      <c r="R48" s="323">
        <f t="shared" si="24"/>
        <v>8.8000000000000007</v>
      </c>
      <c r="S48" s="323">
        <f t="shared" si="24"/>
        <v>8.8000000000000007</v>
      </c>
      <c r="T48" s="323">
        <f t="shared" si="24"/>
        <v>8.8000000000000007</v>
      </c>
      <c r="U48" s="323">
        <f t="shared" si="24"/>
        <v>8.8000000000000007</v>
      </c>
      <c r="V48" s="323">
        <f t="shared" si="24"/>
        <v>8.8000000000000007</v>
      </c>
      <c r="W48" s="323">
        <f t="shared" si="24"/>
        <v>8.8000000000000007</v>
      </c>
      <c r="X48" s="323">
        <f t="shared" si="24"/>
        <v>8.8000000000000007</v>
      </c>
      <c r="Y48" s="323">
        <f t="shared" si="24"/>
        <v>8.8000000000000007</v>
      </c>
      <c r="Z48" s="323">
        <f t="shared" si="24"/>
        <v>8.8000000000000007</v>
      </c>
      <c r="AA48" s="323">
        <f t="shared" si="24"/>
        <v>8.8000000000000007</v>
      </c>
      <c r="AB48" s="323">
        <f t="shared" si="24"/>
        <v>8.8000000000000007</v>
      </c>
      <c r="AC48" s="323">
        <f t="shared" si="24"/>
        <v>6.16</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88" t="s">
        <v>134</v>
      </c>
      <c r="B50" s="134">
        <v>5</v>
      </c>
      <c r="C50" s="134">
        <v>5</v>
      </c>
      <c r="D50" s="134">
        <v>5</v>
      </c>
      <c r="E50" s="134">
        <v>5</v>
      </c>
      <c r="F50" s="134">
        <v>5</v>
      </c>
      <c r="G50" s="134">
        <v>5</v>
      </c>
      <c r="H50" s="134">
        <v>6</v>
      </c>
      <c r="I50" s="134">
        <v>6</v>
      </c>
      <c r="J50" s="134">
        <v>6</v>
      </c>
      <c r="K50" s="134">
        <v>7</v>
      </c>
      <c r="L50" s="134">
        <v>7</v>
      </c>
      <c r="M50" s="134">
        <v>7</v>
      </c>
      <c r="N50" s="134">
        <v>8</v>
      </c>
      <c r="O50" s="134">
        <v>8</v>
      </c>
      <c r="P50" s="134">
        <v>8</v>
      </c>
      <c r="Q50" s="134">
        <v>8</v>
      </c>
      <c r="R50" s="134">
        <v>8</v>
      </c>
      <c r="S50" s="134">
        <v>8</v>
      </c>
      <c r="T50" s="134">
        <v>8</v>
      </c>
      <c r="U50" s="134">
        <v>8</v>
      </c>
      <c r="V50" s="134">
        <v>8</v>
      </c>
      <c r="W50" s="134">
        <v>8</v>
      </c>
      <c r="X50" s="134">
        <v>8</v>
      </c>
      <c r="Y50" s="134">
        <v>8</v>
      </c>
      <c r="Z50" s="134">
        <v>8</v>
      </c>
      <c r="AA50" s="134">
        <v>8</v>
      </c>
      <c r="AB50" s="355">
        <v>8</v>
      </c>
      <c r="AC50" s="67">
        <v>5</v>
      </c>
      <c r="AD50" s="38"/>
      <c r="AE50" s="38"/>
      <c r="AF50" s="38"/>
      <c r="AG50" s="38"/>
      <c r="AH50" s="38"/>
    </row>
    <row r="51" spans="1:34" x14ac:dyDescent="0.2">
      <c r="A51" s="88" t="s">
        <v>135</v>
      </c>
      <c r="B51" s="134">
        <f t="shared" ref="B51:AC51" si="25">ROUND(1*B50,2)</f>
        <v>5</v>
      </c>
      <c r="C51" s="134">
        <f t="shared" si="25"/>
        <v>5</v>
      </c>
      <c r="D51" s="134">
        <f t="shared" si="25"/>
        <v>5</v>
      </c>
      <c r="E51" s="134">
        <f t="shared" si="25"/>
        <v>5</v>
      </c>
      <c r="F51" s="134">
        <f t="shared" si="25"/>
        <v>5</v>
      </c>
      <c r="G51" s="134">
        <f t="shared" si="25"/>
        <v>5</v>
      </c>
      <c r="H51" s="134">
        <f t="shared" si="25"/>
        <v>6</v>
      </c>
      <c r="I51" s="134">
        <f t="shared" si="25"/>
        <v>6</v>
      </c>
      <c r="J51" s="134">
        <f t="shared" si="25"/>
        <v>6</v>
      </c>
      <c r="K51" s="134">
        <f t="shared" si="25"/>
        <v>7</v>
      </c>
      <c r="L51" s="134">
        <f t="shared" si="25"/>
        <v>7</v>
      </c>
      <c r="M51" s="134">
        <f t="shared" si="25"/>
        <v>7</v>
      </c>
      <c r="N51" s="134">
        <f t="shared" si="25"/>
        <v>8</v>
      </c>
      <c r="O51" s="134">
        <f t="shared" si="25"/>
        <v>8</v>
      </c>
      <c r="P51" s="134">
        <f t="shared" si="25"/>
        <v>8</v>
      </c>
      <c r="Q51" s="134">
        <f t="shared" si="25"/>
        <v>8</v>
      </c>
      <c r="R51" s="134">
        <f t="shared" si="25"/>
        <v>8</v>
      </c>
      <c r="S51" s="134">
        <f t="shared" si="25"/>
        <v>8</v>
      </c>
      <c r="T51" s="134">
        <f t="shared" si="25"/>
        <v>8</v>
      </c>
      <c r="U51" s="134">
        <f t="shared" si="25"/>
        <v>8</v>
      </c>
      <c r="V51" s="134">
        <f t="shared" si="25"/>
        <v>8</v>
      </c>
      <c r="W51" s="134">
        <f t="shared" si="25"/>
        <v>8</v>
      </c>
      <c r="X51" s="134">
        <f t="shared" si="25"/>
        <v>8</v>
      </c>
      <c r="Y51" s="134">
        <f t="shared" si="25"/>
        <v>8</v>
      </c>
      <c r="Z51" s="134">
        <f t="shared" si="25"/>
        <v>8</v>
      </c>
      <c r="AA51" s="134">
        <f t="shared" si="25"/>
        <v>8</v>
      </c>
      <c r="AB51" s="355">
        <f t="shared" si="25"/>
        <v>8</v>
      </c>
      <c r="AC51" s="67">
        <f t="shared" si="25"/>
        <v>5</v>
      </c>
      <c r="AF51" s="14"/>
      <c r="AG51" s="14"/>
      <c r="AH51" s="14"/>
    </row>
    <row r="52" spans="1:34" s="30" customFormat="1" x14ac:dyDescent="0.2">
      <c r="A52" s="89" t="s">
        <v>136</v>
      </c>
      <c r="B52" s="91">
        <v>3</v>
      </c>
      <c r="C52" s="91">
        <v>3</v>
      </c>
      <c r="D52" s="91">
        <v>3</v>
      </c>
      <c r="E52" s="91">
        <v>3</v>
      </c>
      <c r="F52" s="91">
        <v>3</v>
      </c>
      <c r="G52" s="91">
        <v>3</v>
      </c>
      <c r="H52" s="91">
        <v>3</v>
      </c>
      <c r="I52" s="91">
        <v>4</v>
      </c>
      <c r="J52" s="91">
        <v>4</v>
      </c>
      <c r="K52" s="91">
        <v>4</v>
      </c>
      <c r="L52" s="91">
        <v>4</v>
      </c>
      <c r="M52" s="91">
        <v>4</v>
      </c>
      <c r="N52" s="91">
        <v>4</v>
      </c>
      <c r="O52" s="91">
        <v>4</v>
      </c>
      <c r="P52" s="91">
        <v>4</v>
      </c>
      <c r="Q52" s="91">
        <v>4</v>
      </c>
      <c r="R52" s="91">
        <v>4</v>
      </c>
      <c r="S52" s="91">
        <v>4</v>
      </c>
      <c r="T52" s="91">
        <v>4</v>
      </c>
      <c r="U52" s="91">
        <v>4</v>
      </c>
      <c r="V52" s="91">
        <v>4</v>
      </c>
      <c r="W52" s="91">
        <v>4</v>
      </c>
      <c r="X52" s="91">
        <v>4</v>
      </c>
      <c r="Y52" s="91">
        <v>4</v>
      </c>
      <c r="Z52" s="91">
        <v>4</v>
      </c>
      <c r="AA52" s="91">
        <v>4</v>
      </c>
      <c r="AB52" s="347">
        <v>4</v>
      </c>
      <c r="AC52" s="91">
        <v>4</v>
      </c>
      <c r="AF52" s="14"/>
      <c r="AG52" s="14"/>
      <c r="AH52" s="14"/>
    </row>
    <row r="53" spans="1:34" s="30" customFormat="1" x14ac:dyDescent="0.2">
      <c r="A53" s="89" t="s">
        <v>137</v>
      </c>
      <c r="B53" s="87">
        <f>B52*0.75</f>
        <v>2.25</v>
      </c>
      <c r="C53" s="87">
        <v>3</v>
      </c>
      <c r="D53" s="87">
        <v>3</v>
      </c>
      <c r="E53" s="87">
        <v>3</v>
      </c>
      <c r="F53" s="87">
        <v>3</v>
      </c>
      <c r="G53" s="87">
        <v>3</v>
      </c>
      <c r="H53" s="87">
        <v>3</v>
      </c>
      <c r="I53" s="87">
        <v>3</v>
      </c>
      <c r="J53" s="87">
        <v>3</v>
      </c>
      <c r="K53" s="87">
        <v>3</v>
      </c>
      <c r="L53" s="87">
        <v>3</v>
      </c>
      <c r="M53" s="87">
        <v>3</v>
      </c>
      <c r="N53" s="87">
        <v>3</v>
      </c>
      <c r="O53" s="87">
        <v>3</v>
      </c>
      <c r="P53" s="87">
        <v>3</v>
      </c>
      <c r="Q53" s="87">
        <v>3</v>
      </c>
      <c r="R53" s="87">
        <v>3</v>
      </c>
      <c r="S53" s="87">
        <v>3</v>
      </c>
      <c r="T53" s="87">
        <v>3</v>
      </c>
      <c r="U53" s="87">
        <v>3</v>
      </c>
      <c r="V53" s="87">
        <v>3</v>
      </c>
      <c r="W53" s="87">
        <v>3</v>
      </c>
      <c r="X53" s="87">
        <v>3</v>
      </c>
      <c r="Y53" s="87">
        <v>3</v>
      </c>
      <c r="Z53" s="87">
        <v>3</v>
      </c>
      <c r="AA53" s="87">
        <v>3</v>
      </c>
      <c r="AB53" s="348">
        <v>3</v>
      </c>
      <c r="AC53" s="87">
        <v>3</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17</v>
      </c>
      <c r="C55" s="41">
        <f t="shared" si="26"/>
        <v>17</v>
      </c>
      <c r="D55" s="41">
        <f t="shared" si="26"/>
        <v>17</v>
      </c>
      <c r="E55" s="41">
        <f t="shared" si="26"/>
        <v>17</v>
      </c>
      <c r="F55" s="41">
        <f t="shared" si="26"/>
        <v>17</v>
      </c>
      <c r="G55" s="41">
        <f t="shared" si="26"/>
        <v>17</v>
      </c>
      <c r="H55" s="41">
        <f t="shared" si="26"/>
        <v>17</v>
      </c>
      <c r="I55" s="41">
        <f t="shared" si="26"/>
        <v>17</v>
      </c>
      <c r="J55" s="41">
        <f t="shared" si="26"/>
        <v>17</v>
      </c>
      <c r="K55" s="41">
        <f t="shared" si="26"/>
        <v>17</v>
      </c>
      <c r="L55" s="41">
        <f t="shared" si="26"/>
        <v>17</v>
      </c>
      <c r="M55" s="41">
        <f t="shared" si="26"/>
        <v>17</v>
      </c>
      <c r="N55" s="41">
        <f t="shared" si="26"/>
        <v>17</v>
      </c>
      <c r="O55" s="41">
        <f t="shared" si="26"/>
        <v>17</v>
      </c>
      <c r="P55" s="41">
        <f t="shared" si="26"/>
        <v>17</v>
      </c>
      <c r="Q55" s="41">
        <f t="shared" si="26"/>
        <v>17</v>
      </c>
      <c r="R55" s="41">
        <f t="shared" si="26"/>
        <v>17</v>
      </c>
      <c r="S55" s="41">
        <f t="shared" si="26"/>
        <v>17</v>
      </c>
      <c r="T55" s="41">
        <f t="shared" si="26"/>
        <v>17</v>
      </c>
      <c r="U55" s="41">
        <f t="shared" si="26"/>
        <v>17</v>
      </c>
      <c r="V55" s="41">
        <f t="shared" si="26"/>
        <v>17</v>
      </c>
      <c r="W55" s="41">
        <f t="shared" si="26"/>
        <v>17</v>
      </c>
      <c r="X55" s="41">
        <f t="shared" si="26"/>
        <v>17</v>
      </c>
      <c r="Y55" s="41">
        <f t="shared" si="26"/>
        <v>17</v>
      </c>
      <c r="Z55" s="41">
        <f t="shared" si="26"/>
        <v>17</v>
      </c>
      <c r="AA55" s="41">
        <f t="shared" si="26"/>
        <v>17</v>
      </c>
      <c r="AB55" s="349">
        <f t="shared" si="26"/>
        <v>17</v>
      </c>
      <c r="AC55" s="112">
        <f t="shared" si="26"/>
        <v>17</v>
      </c>
    </row>
    <row r="56" spans="1:34" x14ac:dyDescent="0.2">
      <c r="A56" s="42" t="s">
        <v>140</v>
      </c>
      <c r="B56" s="43">
        <f t="shared" ref="B56:AC56" si="27">ROUNDUP(IF(B$13="Deploy",MAX((B$89/100)*$B96,$B96),(B$89/100)*$B96),0)</f>
        <v>7</v>
      </c>
      <c r="C56" s="43">
        <f t="shared" si="27"/>
        <v>7</v>
      </c>
      <c r="D56" s="43">
        <f t="shared" si="27"/>
        <v>7</v>
      </c>
      <c r="E56" s="43">
        <f t="shared" si="27"/>
        <v>7</v>
      </c>
      <c r="F56" s="43">
        <f t="shared" si="27"/>
        <v>7</v>
      </c>
      <c r="G56" s="43">
        <f t="shared" si="27"/>
        <v>7</v>
      </c>
      <c r="H56" s="43">
        <f t="shared" si="27"/>
        <v>8</v>
      </c>
      <c r="I56" s="43">
        <f t="shared" si="27"/>
        <v>10</v>
      </c>
      <c r="J56" s="43">
        <f t="shared" si="27"/>
        <v>11</v>
      </c>
      <c r="K56" s="43">
        <f t="shared" si="27"/>
        <v>11</v>
      </c>
      <c r="L56" s="43">
        <f t="shared" si="27"/>
        <v>13</v>
      </c>
      <c r="M56" s="43">
        <f t="shared" si="27"/>
        <v>15</v>
      </c>
      <c r="N56" s="43">
        <f t="shared" si="27"/>
        <v>15</v>
      </c>
      <c r="O56" s="43">
        <f t="shared" si="27"/>
        <v>15</v>
      </c>
      <c r="P56" s="43">
        <f t="shared" si="27"/>
        <v>15</v>
      </c>
      <c r="Q56" s="43">
        <f t="shared" si="27"/>
        <v>15</v>
      </c>
      <c r="R56" s="43">
        <f t="shared" si="27"/>
        <v>17</v>
      </c>
      <c r="S56" s="43">
        <f t="shared" si="27"/>
        <v>17</v>
      </c>
      <c r="T56" s="43">
        <f t="shared" si="27"/>
        <v>17</v>
      </c>
      <c r="U56" s="43">
        <f t="shared" si="27"/>
        <v>17</v>
      </c>
      <c r="V56" s="43">
        <f t="shared" si="27"/>
        <v>17</v>
      </c>
      <c r="W56" s="43">
        <f t="shared" si="27"/>
        <v>17</v>
      </c>
      <c r="X56" s="43">
        <f t="shared" si="27"/>
        <v>16</v>
      </c>
      <c r="Y56" s="43">
        <f t="shared" si="27"/>
        <v>16</v>
      </c>
      <c r="Z56" s="43">
        <f t="shared" si="27"/>
        <v>15</v>
      </c>
      <c r="AA56" s="43">
        <f t="shared" si="27"/>
        <v>15</v>
      </c>
      <c r="AB56" s="350">
        <f t="shared" si="27"/>
        <v>14</v>
      </c>
      <c r="AC56" s="43">
        <f t="shared" si="27"/>
        <v>7</v>
      </c>
    </row>
    <row r="57" spans="1:34" x14ac:dyDescent="0.2">
      <c r="A57" s="66" t="s">
        <v>141</v>
      </c>
      <c r="B57" s="69">
        <f>B55</f>
        <v>17</v>
      </c>
      <c r="C57" s="69">
        <f t="shared" ref="C57:AB58" si="28">C55</f>
        <v>17</v>
      </c>
      <c r="D57" s="69">
        <f t="shared" si="28"/>
        <v>17</v>
      </c>
      <c r="E57" s="69">
        <f t="shared" si="28"/>
        <v>17</v>
      </c>
      <c r="F57" s="69">
        <f t="shared" si="28"/>
        <v>17</v>
      </c>
      <c r="G57" s="69">
        <f t="shared" si="28"/>
        <v>17</v>
      </c>
      <c r="H57" s="69">
        <f t="shared" si="28"/>
        <v>17</v>
      </c>
      <c r="I57" s="69">
        <f t="shared" si="28"/>
        <v>17</v>
      </c>
      <c r="J57" s="69">
        <f t="shared" si="28"/>
        <v>17</v>
      </c>
      <c r="K57" s="69">
        <f t="shared" si="28"/>
        <v>17</v>
      </c>
      <c r="L57" s="69">
        <f t="shared" si="28"/>
        <v>17</v>
      </c>
      <c r="M57" s="69">
        <f t="shared" si="28"/>
        <v>17</v>
      </c>
      <c r="N57" s="69">
        <f t="shared" si="28"/>
        <v>17</v>
      </c>
      <c r="O57" s="69">
        <f t="shared" si="28"/>
        <v>17</v>
      </c>
      <c r="P57" s="69">
        <f t="shared" si="28"/>
        <v>17</v>
      </c>
      <c r="Q57" s="69">
        <f t="shared" si="28"/>
        <v>17</v>
      </c>
      <c r="R57" s="69">
        <f t="shared" si="28"/>
        <v>17</v>
      </c>
      <c r="S57" s="69">
        <f t="shared" si="28"/>
        <v>17</v>
      </c>
      <c r="T57" s="69">
        <f t="shared" si="28"/>
        <v>17</v>
      </c>
      <c r="U57" s="69">
        <f t="shared" si="28"/>
        <v>17</v>
      </c>
      <c r="V57" s="69">
        <f t="shared" si="28"/>
        <v>17</v>
      </c>
      <c r="W57" s="69">
        <f t="shared" si="28"/>
        <v>17</v>
      </c>
      <c r="X57" s="69">
        <f t="shared" si="28"/>
        <v>17</v>
      </c>
      <c r="Y57" s="69">
        <f t="shared" si="28"/>
        <v>17</v>
      </c>
      <c r="Z57" s="69">
        <f t="shared" si="28"/>
        <v>17</v>
      </c>
      <c r="AA57" s="69">
        <f t="shared" si="28"/>
        <v>17</v>
      </c>
      <c r="AB57" s="351">
        <f t="shared" si="28"/>
        <v>17</v>
      </c>
      <c r="AC57" s="69">
        <f>AC55</f>
        <v>17</v>
      </c>
    </row>
    <row r="58" spans="1:34" x14ac:dyDescent="0.2">
      <c r="A58" s="78" t="s">
        <v>142</v>
      </c>
      <c r="B58" s="79">
        <f>C58</f>
        <v>7</v>
      </c>
      <c r="C58" s="79">
        <f>D58</f>
        <v>7</v>
      </c>
      <c r="D58" s="79">
        <f t="shared" si="28"/>
        <v>7</v>
      </c>
      <c r="E58" s="79">
        <f t="shared" si="28"/>
        <v>7</v>
      </c>
      <c r="F58" s="79">
        <f t="shared" si="28"/>
        <v>7</v>
      </c>
      <c r="G58" s="79">
        <f t="shared" si="28"/>
        <v>7</v>
      </c>
      <c r="H58" s="79">
        <f t="shared" si="28"/>
        <v>8</v>
      </c>
      <c r="I58" s="79">
        <f t="shared" si="28"/>
        <v>10</v>
      </c>
      <c r="J58" s="79">
        <f t="shared" si="28"/>
        <v>11</v>
      </c>
      <c r="K58" s="79">
        <f t="shared" si="28"/>
        <v>11</v>
      </c>
      <c r="L58" s="79">
        <f t="shared" si="28"/>
        <v>13</v>
      </c>
      <c r="M58" s="79">
        <f t="shared" si="28"/>
        <v>15</v>
      </c>
      <c r="N58" s="79">
        <f t="shared" si="28"/>
        <v>15</v>
      </c>
      <c r="O58" s="79">
        <f t="shared" si="28"/>
        <v>15</v>
      </c>
      <c r="P58" s="79">
        <f t="shared" si="28"/>
        <v>15</v>
      </c>
      <c r="Q58" s="79">
        <f t="shared" si="28"/>
        <v>15</v>
      </c>
      <c r="R58" s="79">
        <f t="shared" si="28"/>
        <v>17</v>
      </c>
      <c r="S58" s="79">
        <f t="shared" si="28"/>
        <v>17</v>
      </c>
      <c r="T58" s="79">
        <f t="shared" si="28"/>
        <v>17</v>
      </c>
      <c r="U58" s="79">
        <f t="shared" si="28"/>
        <v>17</v>
      </c>
      <c r="V58" s="79">
        <f t="shared" si="28"/>
        <v>17</v>
      </c>
      <c r="W58" s="79">
        <f t="shared" si="28"/>
        <v>17</v>
      </c>
      <c r="X58" s="79">
        <f t="shared" si="28"/>
        <v>16</v>
      </c>
      <c r="Y58" s="79">
        <f t="shared" si="28"/>
        <v>16</v>
      </c>
      <c r="Z58" s="79">
        <f t="shared" si="28"/>
        <v>15</v>
      </c>
      <c r="AA58" s="79">
        <f t="shared" si="28"/>
        <v>15</v>
      </c>
      <c r="AB58" s="352">
        <f t="shared" si="28"/>
        <v>14</v>
      </c>
      <c r="AC58" s="79">
        <f>AC56</f>
        <v>7</v>
      </c>
    </row>
    <row r="59" spans="1:34" x14ac:dyDescent="0.2">
      <c r="A59" s="42" t="str">
        <f>A99</f>
        <v>&gt; L4 Pilots</v>
      </c>
      <c r="B59" s="43">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73" si="30">A100</f>
        <v>&gt; L3 Pilots</v>
      </c>
      <c r="B60" s="43">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43">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43">
        <f t="shared" ref="B62:AC62" si="33">ROUNDUP(IF(B$13="Deploy",MAX((B$89/100)*$B102,$B102),(B$89/100)*$B102),0)</f>
        <v>7</v>
      </c>
      <c r="C62" s="43">
        <f t="shared" si="33"/>
        <v>7</v>
      </c>
      <c r="D62" s="43">
        <f t="shared" si="33"/>
        <v>7</v>
      </c>
      <c r="E62" s="43">
        <f t="shared" si="33"/>
        <v>7</v>
      </c>
      <c r="F62" s="43">
        <f t="shared" si="33"/>
        <v>7</v>
      </c>
      <c r="G62" s="43">
        <f t="shared" si="33"/>
        <v>7</v>
      </c>
      <c r="H62" s="43">
        <f t="shared" si="33"/>
        <v>8</v>
      </c>
      <c r="I62" s="43">
        <f t="shared" si="33"/>
        <v>10</v>
      </c>
      <c r="J62" s="43">
        <f t="shared" si="33"/>
        <v>11</v>
      </c>
      <c r="K62" s="43">
        <f t="shared" si="33"/>
        <v>11</v>
      </c>
      <c r="L62" s="43">
        <f t="shared" si="33"/>
        <v>13</v>
      </c>
      <c r="M62" s="43">
        <f t="shared" si="33"/>
        <v>15</v>
      </c>
      <c r="N62" s="43">
        <f t="shared" si="33"/>
        <v>15</v>
      </c>
      <c r="O62" s="43">
        <f t="shared" si="33"/>
        <v>15</v>
      </c>
      <c r="P62" s="43">
        <f t="shared" si="33"/>
        <v>15</v>
      </c>
      <c r="Q62" s="43">
        <f t="shared" si="33"/>
        <v>15</v>
      </c>
      <c r="R62" s="43">
        <f t="shared" si="33"/>
        <v>17</v>
      </c>
      <c r="S62" s="43">
        <f t="shared" si="33"/>
        <v>17</v>
      </c>
      <c r="T62" s="43">
        <f t="shared" si="33"/>
        <v>17</v>
      </c>
      <c r="U62" s="43">
        <f t="shared" si="33"/>
        <v>17</v>
      </c>
      <c r="V62" s="43">
        <f t="shared" si="33"/>
        <v>17</v>
      </c>
      <c r="W62" s="43">
        <f t="shared" si="33"/>
        <v>17</v>
      </c>
      <c r="X62" s="43">
        <f t="shared" si="33"/>
        <v>16</v>
      </c>
      <c r="Y62" s="43">
        <f t="shared" si="33"/>
        <v>16</v>
      </c>
      <c r="Z62" s="43">
        <f t="shared" si="33"/>
        <v>15</v>
      </c>
      <c r="AA62" s="43">
        <f t="shared" si="33"/>
        <v>15</v>
      </c>
      <c r="AB62" s="350">
        <f t="shared" si="33"/>
        <v>14</v>
      </c>
      <c r="AC62" s="43">
        <f t="shared" si="33"/>
        <v>7</v>
      </c>
    </row>
    <row r="63" spans="1:34" s="21" customFormat="1" x14ac:dyDescent="0.2">
      <c r="A63" s="42" t="str">
        <f t="shared" si="30"/>
        <v>&gt; L4 WSO</v>
      </c>
      <c r="B63" s="43">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43">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43">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43">
        <f t="shared" ref="B66:AC66" si="37">ROUNDUP(IF(B$13="Deploy",MAX((B$89/100)*$B106,$B106),(B$89/100)*$B106),0)</f>
        <v>7</v>
      </c>
      <c r="C66" s="43">
        <f t="shared" si="37"/>
        <v>7</v>
      </c>
      <c r="D66" s="43">
        <f t="shared" si="37"/>
        <v>7</v>
      </c>
      <c r="E66" s="43">
        <f t="shared" si="37"/>
        <v>7</v>
      </c>
      <c r="F66" s="43">
        <f t="shared" si="37"/>
        <v>7</v>
      </c>
      <c r="G66" s="43">
        <f t="shared" si="37"/>
        <v>7</v>
      </c>
      <c r="H66" s="43">
        <f t="shared" si="37"/>
        <v>8</v>
      </c>
      <c r="I66" s="43">
        <f t="shared" si="37"/>
        <v>10</v>
      </c>
      <c r="J66" s="43">
        <f t="shared" si="37"/>
        <v>11</v>
      </c>
      <c r="K66" s="43">
        <f t="shared" si="37"/>
        <v>11</v>
      </c>
      <c r="L66" s="43">
        <f t="shared" si="37"/>
        <v>13</v>
      </c>
      <c r="M66" s="43">
        <f t="shared" si="37"/>
        <v>15</v>
      </c>
      <c r="N66" s="43">
        <f t="shared" si="37"/>
        <v>15</v>
      </c>
      <c r="O66" s="43">
        <f t="shared" si="37"/>
        <v>15</v>
      </c>
      <c r="P66" s="43">
        <f t="shared" si="37"/>
        <v>15</v>
      </c>
      <c r="Q66" s="43">
        <f t="shared" si="37"/>
        <v>15</v>
      </c>
      <c r="R66" s="43">
        <f t="shared" si="37"/>
        <v>17</v>
      </c>
      <c r="S66" s="43">
        <f t="shared" si="37"/>
        <v>17</v>
      </c>
      <c r="T66" s="43">
        <f t="shared" si="37"/>
        <v>17</v>
      </c>
      <c r="U66" s="43">
        <f t="shared" si="37"/>
        <v>17</v>
      </c>
      <c r="V66" s="43">
        <f t="shared" si="37"/>
        <v>17</v>
      </c>
      <c r="W66" s="43">
        <f t="shared" si="37"/>
        <v>17</v>
      </c>
      <c r="X66" s="43">
        <f t="shared" si="37"/>
        <v>16</v>
      </c>
      <c r="Y66" s="43">
        <f t="shared" si="37"/>
        <v>16</v>
      </c>
      <c r="Z66" s="43">
        <f t="shared" si="37"/>
        <v>15</v>
      </c>
      <c r="AA66" s="43">
        <f t="shared" si="37"/>
        <v>15</v>
      </c>
      <c r="AB66" s="350">
        <f t="shared" si="37"/>
        <v>14</v>
      </c>
      <c r="AC66" s="43">
        <f t="shared" si="37"/>
        <v>7</v>
      </c>
    </row>
    <row r="67" spans="1:47" s="21" customFormat="1" x14ac:dyDescent="0.2">
      <c r="A67" s="42" t="str">
        <f t="shared" si="30"/>
        <v>NVG Qual - Pilot</v>
      </c>
      <c r="B67" s="43">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21" customFormat="1" x14ac:dyDescent="0.2">
      <c r="A68" s="42" t="str">
        <f t="shared" si="30"/>
        <v>NVG Qual - WSO</v>
      </c>
      <c r="B68" s="43">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21" customFormat="1" x14ac:dyDescent="0.2">
      <c r="A69" s="42" t="str">
        <f t="shared" si="30"/>
        <v>JHMCS Qual - Pilot</v>
      </c>
      <c r="B69" s="43">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21" customFormat="1" x14ac:dyDescent="0.2">
      <c r="A70" s="42" t="str">
        <f t="shared" si="30"/>
        <v>JMPS SME</v>
      </c>
      <c r="B70" s="43">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21" customFormat="1" x14ac:dyDescent="0.2">
      <c r="A71" s="42" t="str">
        <f t="shared" si="30"/>
        <v xml:space="preserve">CVW STK LEAD </v>
      </c>
      <c r="B71" s="43">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21" customFormat="1" x14ac:dyDescent="0.2">
      <c r="A72" s="42" t="str">
        <f t="shared" si="30"/>
        <v>FAC(A) - Pilot</v>
      </c>
      <c r="B72" s="43">
        <f t="shared" ref="B72:AB72" si="43">ROUNDUP(IF(B$13="Deploy",MAX((B$89/100)*$B112,$B112),(B$89/100)*$B112),0)</f>
        <v>2</v>
      </c>
      <c r="C72" s="43">
        <f t="shared" si="43"/>
        <v>2</v>
      </c>
      <c r="D72" s="43">
        <f t="shared" si="43"/>
        <v>2</v>
      </c>
      <c r="E72" s="43">
        <f t="shared" si="43"/>
        <v>2</v>
      </c>
      <c r="F72" s="43">
        <f t="shared" si="43"/>
        <v>2</v>
      </c>
      <c r="G72" s="43">
        <f t="shared" si="43"/>
        <v>2</v>
      </c>
      <c r="H72" s="43">
        <f t="shared" si="43"/>
        <v>2</v>
      </c>
      <c r="I72" s="43">
        <f t="shared" si="43"/>
        <v>3</v>
      </c>
      <c r="J72" s="43">
        <f t="shared" si="43"/>
        <v>3</v>
      </c>
      <c r="K72" s="43">
        <f t="shared" si="43"/>
        <v>3</v>
      </c>
      <c r="L72" s="43">
        <f t="shared" si="43"/>
        <v>3</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21" customFormat="1" x14ac:dyDescent="0.2">
      <c r="A73" s="42" t="str">
        <f t="shared" si="30"/>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21"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8</v>
      </c>
      <c r="J74" s="43">
        <f t="shared" si="45"/>
        <v>8</v>
      </c>
      <c r="K74" s="43">
        <f t="shared" si="45"/>
        <v>9</v>
      </c>
      <c r="L74" s="43">
        <f t="shared" si="45"/>
        <v>10</v>
      </c>
      <c r="M74" s="43">
        <f t="shared" si="45"/>
        <v>12</v>
      </c>
      <c r="N74" s="43">
        <f t="shared" si="45"/>
        <v>12</v>
      </c>
      <c r="O74" s="43">
        <f t="shared" si="45"/>
        <v>12</v>
      </c>
      <c r="P74" s="43">
        <f t="shared" si="45"/>
        <v>12</v>
      </c>
      <c r="Q74" s="43">
        <f t="shared" si="45"/>
        <v>12</v>
      </c>
      <c r="R74" s="43">
        <f t="shared" si="45"/>
        <v>13</v>
      </c>
      <c r="S74" s="43">
        <f t="shared" si="45"/>
        <v>13</v>
      </c>
      <c r="T74" s="43">
        <f t="shared" si="45"/>
        <v>13</v>
      </c>
      <c r="U74" s="43">
        <f t="shared" si="45"/>
        <v>13</v>
      </c>
      <c r="V74" s="43">
        <f t="shared" si="45"/>
        <v>13</v>
      </c>
      <c r="W74" s="43">
        <f t="shared" si="45"/>
        <v>13</v>
      </c>
      <c r="X74" s="43">
        <f t="shared" si="45"/>
        <v>13</v>
      </c>
      <c r="Y74" s="43">
        <f t="shared" si="45"/>
        <v>12</v>
      </c>
      <c r="Z74" s="43">
        <f t="shared" si="45"/>
        <v>12</v>
      </c>
      <c r="AA74" s="43">
        <f t="shared" si="45"/>
        <v>11</v>
      </c>
      <c r="AB74" s="350">
        <f t="shared" si="45"/>
        <v>11</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A79" s="14"/>
      <c r="AC79" s="21"/>
    </row>
    <row r="80" spans="1:47" x14ac:dyDescent="0.2">
      <c r="A80" s="14"/>
      <c r="B80" s="30"/>
      <c r="C80" s="30"/>
      <c r="AC80" s="21"/>
      <c r="AD80" s="21"/>
      <c r="AE80" s="21"/>
      <c r="AH80" s="21"/>
      <c r="AI80" s="21"/>
      <c r="AJ80" s="21"/>
      <c r="AK80" s="21"/>
      <c r="AL80" s="21"/>
      <c r="AM80" s="21"/>
      <c r="AN80" s="21"/>
      <c r="AO80" s="21"/>
      <c r="AP80" s="21"/>
      <c r="AQ80" s="21"/>
      <c r="AR80" s="21"/>
    </row>
    <row r="81" spans="1:36" x14ac:dyDescent="0.2">
      <c r="B81" s="30"/>
      <c r="C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6">MIN(100,B86+$B$90)</f>
        <v>45.901136923127005</v>
      </c>
      <c r="C84" s="45">
        <f t="shared" si="46"/>
        <v>45.901136923127005</v>
      </c>
      <c r="D84" s="45">
        <f t="shared" si="46"/>
        <v>45.901136923127005</v>
      </c>
      <c r="E84" s="45">
        <f t="shared" si="46"/>
        <v>45.901136923127005</v>
      </c>
      <c r="F84" s="45">
        <f t="shared" si="46"/>
        <v>45.901136923127005</v>
      </c>
      <c r="G84" s="45">
        <f t="shared" si="46"/>
        <v>53.901136923127005</v>
      </c>
      <c r="H84" s="45">
        <f t="shared" si="46"/>
        <v>55.901136923127005</v>
      </c>
      <c r="I84" s="45">
        <f t="shared" si="46"/>
        <v>55.901136923127005</v>
      </c>
      <c r="J84" s="45">
        <f t="shared" si="46"/>
        <v>65.901136923127012</v>
      </c>
      <c r="K84" s="45">
        <f t="shared" si="46"/>
        <v>90.901136923127012</v>
      </c>
      <c r="L84" s="45">
        <f t="shared" si="46"/>
        <v>100</v>
      </c>
      <c r="M84" s="45">
        <f t="shared" si="46"/>
        <v>100</v>
      </c>
      <c r="N84" s="45">
        <f t="shared" si="46"/>
        <v>100</v>
      </c>
      <c r="O84" s="45">
        <f t="shared" si="46"/>
        <v>100</v>
      </c>
      <c r="P84" s="45">
        <f t="shared" si="46"/>
        <v>100</v>
      </c>
      <c r="Q84" s="45">
        <f t="shared" si="46"/>
        <v>100</v>
      </c>
      <c r="R84" s="45">
        <f t="shared" si="46"/>
        <v>100</v>
      </c>
      <c r="S84" s="45">
        <f t="shared" si="46"/>
        <v>100</v>
      </c>
      <c r="T84" s="45">
        <f t="shared" si="46"/>
        <v>100</v>
      </c>
      <c r="U84" s="45">
        <f t="shared" si="46"/>
        <v>100</v>
      </c>
      <c r="V84" s="45">
        <f t="shared" si="46"/>
        <v>100</v>
      </c>
      <c r="W84" s="45">
        <f t="shared" si="46"/>
        <v>100</v>
      </c>
      <c r="X84" s="45">
        <f t="shared" si="46"/>
        <v>100</v>
      </c>
      <c r="Y84" s="45">
        <f t="shared" si="46"/>
        <v>100</v>
      </c>
      <c r="Z84" s="45">
        <f t="shared" si="46"/>
        <v>100</v>
      </c>
      <c r="AA84" s="45">
        <f t="shared" si="46"/>
        <v>100</v>
      </c>
      <c r="AB84" s="46">
        <f t="shared" si="46"/>
        <v>100</v>
      </c>
      <c r="AC84" s="124">
        <f t="shared" si="46"/>
        <v>45.901136923127005</v>
      </c>
      <c r="AI84" s="97"/>
      <c r="AJ84" s="97"/>
    </row>
    <row r="85" spans="1:36"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1"/>
      <c r="AE87" s="21"/>
      <c r="AF87" s="22"/>
      <c r="AG87" s="12"/>
      <c r="AH87" s="23"/>
      <c r="AI87" s="97"/>
      <c r="AJ87" s="97"/>
    </row>
    <row r="88" spans="1:36"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17</v>
      </c>
      <c r="K95" s="74"/>
      <c r="AI95" s="97"/>
      <c r="AJ95" s="97"/>
    </row>
    <row r="96" spans="1:36" x14ac:dyDescent="0.2">
      <c r="A96" s="50" t="s">
        <v>140</v>
      </c>
      <c r="B96" s="51">
        <v>17</v>
      </c>
      <c r="K96" s="74"/>
      <c r="AI96" s="97"/>
      <c r="AJ96" s="97"/>
    </row>
    <row r="97" spans="1:36" x14ac:dyDescent="0.2">
      <c r="A97" s="75" t="s">
        <v>141</v>
      </c>
      <c r="B97" s="77">
        <v>17</v>
      </c>
      <c r="E97" s="73"/>
      <c r="F97" s="21"/>
      <c r="K97" s="74"/>
      <c r="AI97" s="97"/>
      <c r="AJ97" s="97"/>
    </row>
    <row r="98" spans="1:36" x14ac:dyDescent="0.2">
      <c r="A98" s="50" t="s">
        <v>142</v>
      </c>
      <c r="B98" s="51">
        <v>17</v>
      </c>
      <c r="E98" s="74"/>
      <c r="K98" s="74"/>
      <c r="AI98" s="97"/>
      <c r="AJ98" s="97"/>
    </row>
    <row r="99" spans="1:36" x14ac:dyDescent="0.2">
      <c r="A99" s="50" t="s">
        <v>158</v>
      </c>
      <c r="B99" s="52">
        <v>5</v>
      </c>
      <c r="E99" s="74"/>
      <c r="K99" s="74"/>
      <c r="AI99" s="97"/>
      <c r="AJ99" s="97"/>
    </row>
    <row r="100" spans="1:36" x14ac:dyDescent="0.2">
      <c r="A100" s="50" t="s">
        <v>159</v>
      </c>
      <c r="B100" s="52">
        <v>7</v>
      </c>
      <c r="E100" s="73"/>
      <c r="F100" s="21"/>
      <c r="K100" s="74"/>
      <c r="AI100" s="97"/>
      <c r="AJ100" s="97"/>
    </row>
    <row r="101" spans="1:36" x14ac:dyDescent="0.2">
      <c r="A101" s="50" t="s">
        <v>160</v>
      </c>
      <c r="B101" s="52">
        <v>12</v>
      </c>
      <c r="E101" s="74"/>
      <c r="K101" s="74"/>
      <c r="AI101" s="97"/>
      <c r="AJ101" s="97"/>
    </row>
    <row r="102" spans="1:36" x14ac:dyDescent="0.2">
      <c r="A102" s="50" t="s">
        <v>161</v>
      </c>
      <c r="B102" s="51">
        <v>17</v>
      </c>
      <c r="E102" s="74"/>
      <c r="J102" s="97"/>
      <c r="K102" s="131"/>
      <c r="L102" s="97"/>
      <c r="AI102" s="97"/>
      <c r="AJ102" s="97"/>
    </row>
    <row r="103" spans="1:36" x14ac:dyDescent="0.2">
      <c r="A103" s="50" t="s">
        <v>162</v>
      </c>
      <c r="B103" s="52">
        <v>5</v>
      </c>
      <c r="E103" s="74"/>
      <c r="K103" s="74"/>
      <c r="AI103" s="97"/>
      <c r="AJ103" s="97"/>
    </row>
    <row r="104" spans="1:36" s="97" customFormat="1" x14ac:dyDescent="0.2">
      <c r="A104" s="50" t="s">
        <v>163</v>
      </c>
      <c r="B104" s="55">
        <v>7</v>
      </c>
      <c r="E104" s="73"/>
      <c r="F104" s="21"/>
      <c r="K104" s="74"/>
      <c r="L104" s="15"/>
      <c r="AB104" s="109"/>
      <c r="AC104" s="15"/>
      <c r="AD104" s="4"/>
    </row>
    <row r="105" spans="1:36" x14ac:dyDescent="0.2">
      <c r="A105" s="50" t="s">
        <v>164</v>
      </c>
      <c r="B105" s="55">
        <v>12</v>
      </c>
      <c r="E105" s="74"/>
      <c r="K105" s="74"/>
      <c r="AI105" s="97"/>
      <c r="AJ105" s="97"/>
    </row>
    <row r="106" spans="1:36" x14ac:dyDescent="0.2">
      <c r="A106" s="50" t="s">
        <v>165</v>
      </c>
      <c r="B106" s="128">
        <v>17</v>
      </c>
      <c r="D106" s="97"/>
      <c r="E106" s="74"/>
      <c r="K106" s="74"/>
      <c r="AC106" s="4"/>
    </row>
    <row r="107" spans="1:36" x14ac:dyDescent="0.2">
      <c r="A107" s="50" t="s">
        <v>166</v>
      </c>
      <c r="B107" s="128">
        <v>12</v>
      </c>
      <c r="E107" s="73"/>
      <c r="F107" s="21"/>
      <c r="AI107" s="97"/>
      <c r="AJ107" s="97"/>
    </row>
    <row r="108" spans="1:36" x14ac:dyDescent="0.2">
      <c r="A108" s="50" t="s">
        <v>167</v>
      </c>
      <c r="B108" s="128">
        <v>12</v>
      </c>
      <c r="E108" s="73"/>
      <c r="F108" s="21"/>
      <c r="AI108" s="97"/>
      <c r="AJ108" s="97"/>
    </row>
    <row r="109" spans="1:36" x14ac:dyDescent="0.2">
      <c r="A109" s="50" t="s">
        <v>168</v>
      </c>
      <c r="B109" s="55">
        <v>12</v>
      </c>
      <c r="E109" s="73"/>
      <c r="F109" s="21"/>
      <c r="AI109" s="97"/>
      <c r="AJ109" s="97"/>
    </row>
    <row r="110" spans="1:36" x14ac:dyDescent="0.2">
      <c r="A110" s="50" t="s">
        <v>169</v>
      </c>
      <c r="B110" s="55">
        <v>3</v>
      </c>
      <c r="E110" s="74"/>
      <c r="AI110" s="97"/>
      <c r="AJ110" s="97"/>
    </row>
    <row r="111" spans="1:36" x14ac:dyDescent="0.2">
      <c r="A111" s="50" t="s">
        <v>170</v>
      </c>
      <c r="B111" s="55">
        <v>3</v>
      </c>
      <c r="E111" s="74"/>
      <c r="AI111" s="97"/>
      <c r="AJ111" s="97"/>
    </row>
    <row r="112" spans="1:36" x14ac:dyDescent="0.2">
      <c r="A112" s="50" t="s">
        <v>171</v>
      </c>
      <c r="B112" s="55">
        <v>4</v>
      </c>
      <c r="E112" s="74"/>
      <c r="F112" s="97"/>
      <c r="AI112" s="97"/>
      <c r="AJ112" s="97"/>
    </row>
    <row r="113" spans="1:38" x14ac:dyDescent="0.2">
      <c r="A113" s="50" t="s">
        <v>172</v>
      </c>
      <c r="B113" s="76">
        <v>4</v>
      </c>
      <c r="E113" s="74"/>
      <c r="F113" s="97"/>
      <c r="AI113" s="97"/>
      <c r="AJ113" s="97"/>
    </row>
    <row r="114" spans="1:38" ht="12.75" thickBot="1" x14ac:dyDescent="0.25">
      <c r="A114" s="53" t="s">
        <v>173</v>
      </c>
      <c r="B114" s="54">
        <v>13</v>
      </c>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11</v>
      </c>
      <c r="C122" s="160">
        <v>11</v>
      </c>
      <c r="D122" s="162">
        <v>10</v>
      </c>
      <c r="E122" s="162">
        <v>7</v>
      </c>
      <c r="F122" s="164">
        <v>6</v>
      </c>
      <c r="G122" s="209">
        <v>0</v>
      </c>
    </row>
    <row r="123" spans="1:38" x14ac:dyDescent="0.2">
      <c r="A123" s="157" t="s">
        <v>185</v>
      </c>
      <c r="B123" s="160">
        <v>11</v>
      </c>
      <c r="C123" s="160">
        <v>8</v>
      </c>
      <c r="D123" s="162">
        <v>7</v>
      </c>
      <c r="E123" s="162">
        <v>6</v>
      </c>
      <c r="F123" s="164">
        <v>5</v>
      </c>
      <c r="G123" s="209">
        <v>0</v>
      </c>
    </row>
    <row r="124" spans="1:38" x14ac:dyDescent="0.2">
      <c r="A124" s="208" t="s">
        <v>122</v>
      </c>
      <c r="B124" s="363"/>
      <c r="C124" s="364"/>
      <c r="D124" s="364"/>
      <c r="E124" s="364"/>
      <c r="F124" s="364"/>
      <c r="G124" s="212"/>
    </row>
    <row r="125" spans="1:38" ht="12.75" x14ac:dyDescent="0.2">
      <c r="A125" s="240" t="s">
        <v>123</v>
      </c>
      <c r="B125" s="213">
        <v>11</v>
      </c>
      <c r="C125" s="160">
        <f>ROUND(R39,0)</f>
        <v>6</v>
      </c>
      <c r="D125" s="162">
        <f t="shared" ref="D125:D134" si="50">C125-1</f>
        <v>5</v>
      </c>
      <c r="E125" s="162">
        <f>ROUND(H39,0)</f>
        <v>5</v>
      </c>
      <c r="F125" s="164">
        <v>4</v>
      </c>
      <c r="G125" s="165">
        <v>0</v>
      </c>
    </row>
    <row r="126" spans="1:38" ht="12.75" x14ac:dyDescent="0.2">
      <c r="A126" s="240" t="s">
        <v>124</v>
      </c>
      <c r="B126" s="160">
        <v>11</v>
      </c>
      <c r="C126" s="160">
        <f t="shared" ref="C126:C132" si="51">ROUND(R40,0)</f>
        <v>1</v>
      </c>
      <c r="D126" s="162">
        <v>1</v>
      </c>
      <c r="E126" s="162">
        <f>ROUND(H40,0)</f>
        <v>1</v>
      </c>
      <c r="F126" s="164">
        <v>0</v>
      </c>
      <c r="G126" s="209">
        <v>0</v>
      </c>
    </row>
    <row r="127" spans="1:38" ht="12.75" x14ac:dyDescent="0.2">
      <c r="A127" s="240" t="s">
        <v>125</v>
      </c>
      <c r="B127" s="160">
        <v>11</v>
      </c>
      <c r="C127" s="160">
        <f t="shared" si="51"/>
        <v>3</v>
      </c>
      <c r="D127" s="162">
        <f t="shared" si="50"/>
        <v>2</v>
      </c>
      <c r="E127" s="162"/>
      <c r="F127" s="164">
        <v>2</v>
      </c>
      <c r="G127" s="209">
        <v>0</v>
      </c>
    </row>
    <row r="128" spans="1:38" ht="12.75" x14ac:dyDescent="0.2">
      <c r="A128" s="240" t="s">
        <v>126</v>
      </c>
      <c r="B128" s="160">
        <v>11</v>
      </c>
      <c r="C128" s="160">
        <f t="shared" si="51"/>
        <v>6</v>
      </c>
      <c r="D128" s="162">
        <f t="shared" si="50"/>
        <v>5</v>
      </c>
      <c r="E128" s="162">
        <f>ROUND(H42,0)</f>
        <v>5</v>
      </c>
      <c r="F128" s="164">
        <v>4</v>
      </c>
      <c r="G128" s="209">
        <v>0</v>
      </c>
    </row>
    <row r="129" spans="1:7" ht="12.75" x14ac:dyDescent="0.2">
      <c r="A129" s="240" t="s">
        <v>127</v>
      </c>
      <c r="B129" s="160">
        <v>11</v>
      </c>
      <c r="C129" s="160">
        <f t="shared" si="51"/>
        <v>6</v>
      </c>
      <c r="D129" s="162">
        <f t="shared" si="50"/>
        <v>5</v>
      </c>
      <c r="E129" s="162">
        <f>ROUND(H43,0)</f>
        <v>5</v>
      </c>
      <c r="F129" s="164">
        <v>4</v>
      </c>
      <c r="G129" s="209">
        <v>0</v>
      </c>
    </row>
    <row r="130" spans="1:7" ht="12.75" x14ac:dyDescent="0.2">
      <c r="A130" s="240" t="s">
        <v>128</v>
      </c>
      <c r="B130" s="160">
        <v>11</v>
      </c>
      <c r="C130" s="160">
        <f t="shared" si="51"/>
        <v>6</v>
      </c>
      <c r="D130" s="162">
        <f t="shared" si="50"/>
        <v>5</v>
      </c>
      <c r="E130" s="162">
        <f>ROUND(H44,0)</f>
        <v>5</v>
      </c>
      <c r="F130" s="164">
        <v>4</v>
      </c>
      <c r="G130" s="209">
        <v>0</v>
      </c>
    </row>
    <row r="131" spans="1:7" ht="12.75" x14ac:dyDescent="0.2">
      <c r="A131" s="240" t="s">
        <v>129</v>
      </c>
      <c r="B131" s="160">
        <v>11</v>
      </c>
      <c r="C131" s="160">
        <f>ROUNDDOWN(R45,0)</f>
        <v>8</v>
      </c>
      <c r="D131" s="162">
        <f t="shared" si="50"/>
        <v>7</v>
      </c>
      <c r="E131" s="162">
        <f>ROUND(H45,0)</f>
        <v>2</v>
      </c>
      <c r="F131" s="164">
        <v>2</v>
      </c>
      <c r="G131" s="209">
        <v>0</v>
      </c>
    </row>
    <row r="132" spans="1:7" ht="12.75" x14ac:dyDescent="0.2">
      <c r="A132" s="240" t="s">
        <v>130</v>
      </c>
      <c r="B132" s="160">
        <v>11</v>
      </c>
      <c r="C132" s="160">
        <f t="shared" si="51"/>
        <v>7</v>
      </c>
      <c r="D132" s="162">
        <f t="shared" si="50"/>
        <v>6</v>
      </c>
      <c r="E132" s="162">
        <v>5</v>
      </c>
      <c r="F132" s="164">
        <v>3</v>
      </c>
      <c r="G132" s="209">
        <v>0</v>
      </c>
    </row>
    <row r="133" spans="1:7" ht="12.75" x14ac:dyDescent="0.2">
      <c r="A133" s="240" t="s">
        <v>131</v>
      </c>
      <c r="B133" s="160">
        <v>11</v>
      </c>
      <c r="C133" s="160">
        <f>ROUNDDOWN(R47,0)</f>
        <v>8</v>
      </c>
      <c r="D133" s="162">
        <f t="shared" si="50"/>
        <v>7</v>
      </c>
      <c r="E133" s="162">
        <f>ROUND(H47,0)</f>
        <v>2</v>
      </c>
      <c r="F133" s="164">
        <v>2</v>
      </c>
      <c r="G133" s="209">
        <v>0</v>
      </c>
    </row>
    <row r="134" spans="1:7" ht="12.75" x14ac:dyDescent="0.2">
      <c r="A134" s="240" t="s">
        <v>132</v>
      </c>
      <c r="B134" s="160">
        <v>11</v>
      </c>
      <c r="C134" s="160">
        <f>ROUNDDOWN(R48,0)</f>
        <v>8</v>
      </c>
      <c r="D134" s="162">
        <f t="shared" si="50"/>
        <v>7</v>
      </c>
      <c r="E134" s="162">
        <v>6</v>
      </c>
      <c r="F134" s="164">
        <v>5</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4</v>
      </c>
      <c r="C138" s="167">
        <v>4</v>
      </c>
      <c r="D138" s="169">
        <v>3</v>
      </c>
      <c r="E138" s="169">
        <v>2</v>
      </c>
      <c r="F138" s="170">
        <v>1</v>
      </c>
      <c r="G138" s="214">
        <v>0</v>
      </c>
    </row>
    <row r="139" spans="1:7" ht="12.75" thickBot="1" x14ac:dyDescent="0.25">
      <c r="A139" s="158" t="s">
        <v>187</v>
      </c>
      <c r="B139" s="161">
        <v>4</v>
      </c>
      <c r="C139" s="161">
        <v>3</v>
      </c>
      <c r="D139" s="163">
        <v>2</v>
      </c>
      <c r="E139" s="163">
        <v>2</v>
      </c>
      <c r="F139" s="166">
        <v>1</v>
      </c>
      <c r="G139" s="215">
        <v>0</v>
      </c>
    </row>
    <row r="142" spans="1:7" x14ac:dyDescent="0.2">
      <c r="A142" s="340" t="s">
        <v>188</v>
      </c>
      <c r="B142" s="340" t="s">
        <v>189</v>
      </c>
    </row>
    <row r="143" spans="1:7" x14ac:dyDescent="0.2">
      <c r="A143" s="341" t="s">
        <v>190</v>
      </c>
      <c r="B143" s="342">
        <f>HLOOKUP($B$142,'FA-18EF Mission System Summary'!$B$1:$F$12,2,FALSE)</f>
        <v>0.81398064731398045</v>
      </c>
    </row>
    <row r="144" spans="1:7" x14ac:dyDescent="0.2">
      <c r="A144" s="341" t="str">
        <f>A39</f>
        <v>Ready Advance Threat Warning Mission System (C)</v>
      </c>
      <c r="B144" s="342">
        <f>HLOOKUP($B$142,'FA-18EF Mission System Summary'!$B$1:$F$12,3,FALSE)</f>
        <v>0.6974831974831972</v>
      </c>
    </row>
    <row r="145" spans="1:2" x14ac:dyDescent="0.2">
      <c r="A145" s="341" t="str">
        <f t="shared" ref="A145:A153" si="52">A40</f>
        <v>Ready HARM Support Mission System (D)</v>
      </c>
      <c r="B145" s="342">
        <f>HLOOKUP($B$142,'FA-18EF Mission System Summary'!$B$1:$F$12,4,FALSE)</f>
        <v>0.15186615186615185</v>
      </c>
    </row>
    <row r="146" spans="1:2" x14ac:dyDescent="0.2">
      <c r="A146" s="341" t="str">
        <f t="shared" si="52"/>
        <v>Ready Missile Launch Mission System (E)</v>
      </c>
      <c r="B146" s="342">
        <f>HLOOKUP($B$142,'FA-18EF Mission System Summary'!$B$1:$F$12,5,FALSE)</f>
        <v>0.39761189761189752</v>
      </c>
    </row>
    <row r="147" spans="1:2" x14ac:dyDescent="0.2">
      <c r="A147" s="341" t="str">
        <f t="shared" si="52"/>
        <v>Ready Survivablity Mission System (F)</v>
      </c>
      <c r="B147" s="342">
        <f>HLOOKUP($B$142,'FA-18EF Mission System Summary'!$B$1:$F$12,6,FALSE)</f>
        <v>0.68590018590018564</v>
      </c>
    </row>
    <row r="148" spans="1:2" x14ac:dyDescent="0.2">
      <c r="A148" s="341" t="str">
        <f t="shared" si="52"/>
        <v>Ready Leathality Mission System (G)</v>
      </c>
      <c r="B148" s="342">
        <f>HLOOKUP($B$142,'FA-18EF Mission System Summary'!$B$1:$F$12,7,FALSE)</f>
        <v>0.6974831974831972</v>
      </c>
    </row>
    <row r="149" spans="1:2" x14ac:dyDescent="0.2">
      <c r="A149" s="341" t="str">
        <f t="shared" si="52"/>
        <v>Ready Combat Communications Mission System (H)</v>
      </c>
      <c r="B149" s="342">
        <f>HLOOKUP($B$142,'FA-18EF Mission System Summary'!$B$1:$F$12,8,FALSE)</f>
        <v>0.6974831974831972</v>
      </c>
    </row>
    <row r="150" spans="1:2" x14ac:dyDescent="0.2">
      <c r="A150" s="341" t="str">
        <f t="shared" si="52"/>
        <v>Ready Air to Air Refueling Mission Systems (I)</v>
      </c>
      <c r="B150" s="342">
        <f>HLOOKUP($B$142,'FA-18EF Mission System Summary'!$B$1:$F$12,9,FALSE)</f>
        <v>0.34949234949234942</v>
      </c>
    </row>
    <row r="151" spans="1:2" x14ac:dyDescent="0.2">
      <c r="A151" s="341" t="str">
        <f t="shared" si="52"/>
        <v>Ready Tactical Navigation Mission Systems (J)</v>
      </c>
      <c r="B151" s="342">
        <f>HLOOKUP($B$142,'FA-18EF Mission System Summary'!$B$1:$F$12,10,FALSE)</f>
        <v>0.74445874445874416</v>
      </c>
    </row>
    <row r="152" spans="1:2" x14ac:dyDescent="0.2">
      <c r="A152" s="341" t="str">
        <f t="shared" si="52"/>
        <v>Ready Shipboard Mission Systems (K)</v>
      </c>
      <c r="B152" s="342">
        <f>HLOOKUP($B$142,'FA-18EF Mission System Summary'!$B$1:$F$12,11,FALSE)</f>
        <v>0.32600457600457594</v>
      </c>
    </row>
    <row r="153" spans="1:2" x14ac:dyDescent="0.2">
      <c r="A153" s="341" t="str">
        <f t="shared" si="52"/>
        <v>Ready IMC Flight Mission Systems (L)</v>
      </c>
      <c r="B153" s="342">
        <f>HLOOKUP($B$142,'FA-18EF Mission System Summary'!$B$1:$F$12,12,FALSE)</f>
        <v>1</v>
      </c>
    </row>
  </sheetData>
  <mergeCells count="15">
    <mergeCell ref="A1:G1"/>
    <mergeCell ref="M1:P1"/>
    <mergeCell ref="A83:AC83"/>
    <mergeCell ref="B16:E16"/>
    <mergeCell ref="F16:J16"/>
    <mergeCell ref="K16:M16"/>
    <mergeCell ref="N16:Q16"/>
    <mergeCell ref="R16:W16"/>
    <mergeCell ref="X16:AB16"/>
    <mergeCell ref="B120:C120"/>
    <mergeCell ref="D120:E120"/>
    <mergeCell ref="F120:G120"/>
    <mergeCell ref="A116:B116"/>
    <mergeCell ref="A93:B93"/>
    <mergeCell ref="A94:B94"/>
  </mergeCells>
  <conditionalFormatting sqref="C135">
    <cfRule type="cellIs" dxfId="130" priority="46" operator="equal">
      <formula>B135</formula>
    </cfRule>
  </conditionalFormatting>
  <conditionalFormatting sqref="D135:E135">
    <cfRule type="cellIs" dxfId="129" priority="49" operator="equal">
      <formula>C135</formula>
    </cfRule>
  </conditionalFormatting>
  <conditionalFormatting sqref="F135">
    <cfRule type="cellIs" dxfId="128" priority="47" operator="equal">
      <formula>E135</formula>
    </cfRule>
    <cfRule type="cellIs" dxfId="127" priority="48" operator="equal">
      <formula>G135</formula>
    </cfRule>
  </conditionalFormatting>
  <conditionalFormatting sqref="D122:E122">
    <cfRule type="cellIs" dxfId="126" priority="45" operator="equal">
      <formula>C122</formula>
    </cfRule>
  </conditionalFormatting>
  <conditionalFormatting sqref="C122">
    <cfRule type="cellIs" dxfId="125" priority="33" operator="equal">
      <formula>B122</formula>
    </cfRule>
  </conditionalFormatting>
  <conditionalFormatting sqref="F122">
    <cfRule type="cellIs" dxfId="124" priority="44" operator="equal">
      <formula>E122</formula>
    </cfRule>
  </conditionalFormatting>
  <conditionalFormatting sqref="E122">
    <cfRule type="cellIs" dxfId="123" priority="43" operator="equal">
      <formula>D122</formula>
    </cfRule>
  </conditionalFormatting>
  <conditionalFormatting sqref="F122">
    <cfRule type="cellIs" dxfId="122" priority="40" operator="equal">
      <formula>E122</formula>
    </cfRule>
  </conditionalFormatting>
  <conditionalFormatting sqref="C122">
    <cfRule type="cellIs" dxfId="121" priority="41" operator="equal">
      <formula>B122</formula>
    </cfRule>
  </conditionalFormatting>
  <conditionalFormatting sqref="D122">
    <cfRule type="cellIs" dxfId="120" priority="38" operator="equal">
      <formula>C122</formula>
    </cfRule>
  </conditionalFormatting>
  <conditionalFormatting sqref="E122">
    <cfRule type="cellIs" dxfId="119" priority="39" operator="equal">
      <formula>D122</formula>
    </cfRule>
  </conditionalFormatting>
  <conditionalFormatting sqref="C122">
    <cfRule type="cellIs" dxfId="118" priority="37" operator="equal">
      <formula>B122</formula>
    </cfRule>
  </conditionalFormatting>
  <conditionalFormatting sqref="D122">
    <cfRule type="cellIs" dxfId="117" priority="36" operator="equal">
      <formula>C122</formula>
    </cfRule>
  </conditionalFormatting>
  <conditionalFormatting sqref="E122">
    <cfRule type="cellIs" dxfId="116" priority="35" operator="equal">
      <formula>D122</formula>
    </cfRule>
  </conditionalFormatting>
  <conditionalFormatting sqref="C136:C137">
    <cfRule type="cellIs" dxfId="115" priority="29" operator="equal">
      <formula>B136</formula>
    </cfRule>
  </conditionalFormatting>
  <conditionalFormatting sqref="D136:E137">
    <cfRule type="cellIs" dxfId="114" priority="32" operator="equal">
      <formula>C136</formula>
    </cfRule>
  </conditionalFormatting>
  <conditionalFormatting sqref="F136:F137">
    <cfRule type="cellIs" dxfId="113" priority="30" operator="equal">
      <formula>E136</formula>
    </cfRule>
    <cfRule type="cellIs" dxfId="112" priority="31" operator="equal">
      <formula>G136</formula>
    </cfRule>
  </conditionalFormatting>
  <conditionalFormatting sqref="C138:C139">
    <cfRule type="cellIs" dxfId="111" priority="19" operator="equal">
      <formula>B138</formula>
    </cfRule>
  </conditionalFormatting>
  <conditionalFormatting sqref="D138:E139">
    <cfRule type="cellIs" dxfId="110" priority="22" operator="equal">
      <formula>C138</formula>
    </cfRule>
  </conditionalFormatting>
  <conditionalFormatting sqref="F138:F139">
    <cfRule type="cellIs" dxfId="109" priority="20" operator="equal">
      <formula>E138</formula>
    </cfRule>
    <cfRule type="cellIs" dxfId="108" priority="21" operator="equal">
      <formula>G138</formula>
    </cfRule>
  </conditionalFormatting>
  <conditionalFormatting sqref="C124">
    <cfRule type="cellIs" dxfId="107" priority="15" operator="equal">
      <formula>B124</formula>
    </cfRule>
  </conditionalFormatting>
  <conditionalFormatting sqref="D124:E124">
    <cfRule type="cellIs" dxfId="106" priority="18" operator="equal">
      <formula>C124</formula>
    </cfRule>
  </conditionalFormatting>
  <conditionalFormatting sqref="F124">
    <cfRule type="cellIs" dxfId="105" priority="16" operator="equal">
      <formula>E124</formula>
    </cfRule>
    <cfRule type="cellIs" dxfId="104" priority="17" operator="equal">
      <formula>G124</formula>
    </cfRule>
  </conditionalFormatting>
  <conditionalFormatting sqref="C123">
    <cfRule type="cellIs" dxfId="103" priority="8" operator="equal">
      <formula>B123</formula>
    </cfRule>
  </conditionalFormatting>
  <conditionalFormatting sqref="D123:E123">
    <cfRule type="cellIs" dxfId="102" priority="14" operator="equal">
      <formula>C123</formula>
    </cfRule>
  </conditionalFormatting>
  <conditionalFormatting sqref="F123">
    <cfRule type="cellIs" dxfId="101" priority="9" operator="equal">
      <formula>E123</formula>
    </cfRule>
    <cfRule type="cellIs" dxfId="100" priority="12" operator="equal">
      <formula>G123</formula>
    </cfRule>
  </conditionalFormatting>
  <conditionalFormatting sqref="E123">
    <cfRule type="cellIs" dxfId="99" priority="13" operator="equal">
      <formula>D123</formula>
    </cfRule>
  </conditionalFormatting>
  <conditionalFormatting sqref="E123">
    <cfRule type="cellIs" dxfId="98" priority="11" operator="equal">
      <formula>D123</formula>
    </cfRule>
  </conditionalFormatting>
  <conditionalFormatting sqref="E123">
    <cfRule type="cellIs" dxfId="97" priority="10" operator="equal">
      <formula>D123</formula>
    </cfRule>
  </conditionalFormatting>
  <conditionalFormatting sqref="D126:D134">
    <cfRule type="cellIs" dxfId="96" priority="5" operator="equal">
      <formula>C126</formula>
    </cfRule>
  </conditionalFormatting>
  <conditionalFormatting sqref="F126:F134">
    <cfRule type="cellIs" dxfId="95" priority="4" operator="equal">
      <formula>G126</formula>
    </cfRule>
    <cfRule type="cellIs" dxfId="94" priority="6" operator="equal">
      <formula>E126</formula>
    </cfRule>
  </conditionalFormatting>
  <conditionalFormatting sqref="C125:C134">
    <cfRule type="cellIs" dxfId="93" priority="3" operator="equal">
      <formula>B125</formula>
    </cfRule>
  </conditionalFormatting>
  <conditionalFormatting sqref="D125:E125 E126:E134">
    <cfRule type="cellIs" dxfId="92" priority="1" operator="equal">
      <formula>C125</formula>
    </cfRule>
  </conditionalFormatting>
  <conditionalFormatting sqref="F125">
    <cfRule type="cellIs" dxfId="91" priority="2" operator="equal">
      <formula>G125</formula>
    </cfRule>
    <cfRule type="cellIs" dxfId="90" priority="7" operator="equal">
      <formula>E125</formula>
    </cfRule>
  </conditionalFormatting>
  <hyperlinks>
    <hyperlink ref="H1" location="Inventory!A1" display="Inventory" xr:uid="{00000000-0004-0000-0700-000000000000}"/>
    <hyperlink ref="I121" location="Inventory!A1" display="Inventory" xr:uid="{00000000-0004-0000-0700-000001000000}"/>
    <hyperlink ref="I120" location="'VFA (11F) (4 ARS)'!A1" display="Top" xr:uid="{00000000-0004-0000-0700-000002000000}"/>
    <hyperlink ref="H2" location="'VFA (11F) (4 ARS)'!A140" display="AMFOM" xr:uid="{00000000-0004-0000-0700-000003000000}"/>
  </hyperlinks>
  <printOptions horizontalCentered="1" verticalCentered="1"/>
  <pageMargins left="0.5" right="0.25" top="0.5" bottom="0.5" header="0.5" footer="0.5"/>
  <pageSetup scale="3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U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4" s="1" customFormat="1" ht="18.75" x14ac:dyDescent="0.3">
      <c r="A1" s="430" t="s">
        <v>197</v>
      </c>
      <c r="B1" s="430"/>
      <c r="C1" s="430"/>
      <c r="D1" s="430"/>
      <c r="E1" s="430"/>
      <c r="F1" s="430"/>
      <c r="G1" s="430"/>
      <c r="H1" s="145" t="s">
        <v>40</v>
      </c>
      <c r="K1" s="95"/>
      <c r="L1" s="146" t="s">
        <v>41</v>
      </c>
      <c r="M1" s="441">
        <v>44835</v>
      </c>
      <c r="N1" s="442"/>
      <c r="O1" s="443"/>
      <c r="P1" s="443"/>
      <c r="AC1" s="324" t="s">
        <v>42</v>
      </c>
      <c r="AD1" s="325">
        <v>10.07</v>
      </c>
    </row>
    <row r="2" spans="1:34" s="4" customFormat="1" ht="12.75" x14ac:dyDescent="0.2">
      <c r="A2" s="2" t="s">
        <v>43</v>
      </c>
      <c r="B2" s="70">
        <v>12</v>
      </c>
      <c r="C2" s="59"/>
      <c r="D2" s="3"/>
      <c r="E2" s="3"/>
      <c r="F2" s="3"/>
      <c r="H2" s="294" t="s">
        <v>3</v>
      </c>
      <c r="N2" s="5"/>
      <c r="O2" s="5"/>
      <c r="P2" s="5"/>
      <c r="Q2" s="5"/>
      <c r="R2" s="3"/>
      <c r="S2" s="3"/>
      <c r="T2" s="3"/>
      <c r="U2" s="3"/>
      <c r="V2" s="3"/>
      <c r="W2" s="3"/>
      <c r="X2" s="3"/>
      <c r="Y2" s="3"/>
      <c r="Z2" s="3"/>
      <c r="AA2" s="3"/>
      <c r="AB2" s="3"/>
      <c r="AC2" s="100"/>
    </row>
    <row r="3" spans="1:34" s="4" customFormat="1" ht="11.25" x14ac:dyDescent="0.2">
      <c r="A3" s="2" t="s">
        <v>44</v>
      </c>
      <c r="B3" s="71">
        <f>B4/B2</f>
        <v>1.4166666666666667</v>
      </c>
      <c r="C3" s="59"/>
      <c r="D3" s="3"/>
      <c r="I3" s="3"/>
      <c r="J3" s="3"/>
      <c r="K3" s="3"/>
      <c r="N3" s="5"/>
      <c r="O3" s="5"/>
      <c r="P3" s="5"/>
      <c r="Q3" s="5"/>
      <c r="R3" s="3"/>
      <c r="S3" s="3"/>
      <c r="T3" s="3"/>
      <c r="U3" s="3"/>
      <c r="V3" s="3"/>
      <c r="W3" s="3"/>
      <c r="X3" s="3"/>
      <c r="Y3" s="3"/>
      <c r="Z3" s="3"/>
      <c r="AA3" s="3"/>
      <c r="AB3" s="3"/>
      <c r="AC3" s="100"/>
    </row>
    <row r="4" spans="1:34" s="4" customFormat="1" ht="11.25" x14ac:dyDescent="0.2">
      <c r="A4" s="2" t="s">
        <v>45</v>
      </c>
      <c r="B4" s="70">
        <v>17</v>
      </c>
      <c r="C4" s="59"/>
      <c r="D4" s="3"/>
      <c r="E4" s="3"/>
      <c r="F4" s="3"/>
      <c r="G4" s="3"/>
      <c r="H4" s="3"/>
      <c r="I4" s="3"/>
      <c r="J4" s="3"/>
      <c r="K4" s="3"/>
      <c r="N4" s="5"/>
      <c r="O4" s="5"/>
      <c r="P4" s="5"/>
      <c r="Q4" s="5"/>
      <c r="R4" s="3"/>
      <c r="S4" s="3"/>
      <c r="T4" s="3"/>
      <c r="U4" s="3"/>
      <c r="V4" s="3"/>
      <c r="W4" s="3"/>
      <c r="X4" s="3"/>
      <c r="Y4" s="3"/>
      <c r="Z4" s="3"/>
      <c r="AA4" s="3"/>
      <c r="AB4" s="3"/>
      <c r="AC4" s="100"/>
    </row>
    <row r="5" spans="1:34" s="4" customFormat="1" ht="11.25" x14ac:dyDescent="0.2">
      <c r="A5" s="2" t="s">
        <v>46</v>
      </c>
      <c r="B5" s="72">
        <v>1.5</v>
      </c>
      <c r="C5" s="61"/>
      <c r="D5" s="3"/>
      <c r="E5" s="3"/>
      <c r="F5" s="3"/>
      <c r="G5" s="3"/>
      <c r="H5" s="3"/>
      <c r="I5" s="3"/>
      <c r="J5" s="3"/>
      <c r="K5" s="3"/>
      <c r="N5" s="5"/>
      <c r="O5" s="5"/>
      <c r="P5" s="5"/>
      <c r="Q5" s="5"/>
      <c r="R5" s="3"/>
      <c r="S5" s="3"/>
      <c r="T5" s="3"/>
      <c r="U5" s="3"/>
      <c r="V5" s="3"/>
      <c r="W5" s="3"/>
      <c r="X5" s="3"/>
      <c r="Y5" s="3"/>
      <c r="Z5" s="3"/>
      <c r="AA5" s="3"/>
      <c r="AB5" s="3"/>
      <c r="AC5" s="100"/>
    </row>
    <row r="6" spans="1:34" s="4" customFormat="1" ht="11.25" x14ac:dyDescent="0.2">
      <c r="A6" s="6" t="s">
        <v>47</v>
      </c>
      <c r="B6" s="72">
        <v>27.5</v>
      </c>
      <c r="C6" s="61"/>
      <c r="D6" s="3"/>
      <c r="E6" s="3"/>
      <c r="F6" s="3"/>
      <c r="G6" s="3"/>
      <c r="H6" s="3"/>
      <c r="I6" s="3"/>
      <c r="J6" s="3"/>
      <c r="K6" s="3"/>
      <c r="L6" s="5"/>
      <c r="M6" s="5"/>
      <c r="N6" s="5"/>
      <c r="O6" s="5"/>
      <c r="P6" s="5"/>
      <c r="Q6" s="5"/>
      <c r="R6" s="3"/>
      <c r="S6" s="3"/>
      <c r="T6" s="3"/>
      <c r="U6" s="3"/>
      <c r="V6" s="3"/>
      <c r="W6" s="3"/>
      <c r="X6" s="3"/>
      <c r="Y6" s="3"/>
      <c r="Z6" s="3"/>
      <c r="AA6" s="3"/>
      <c r="AB6" s="3"/>
      <c r="AC6" s="100"/>
    </row>
    <row r="7" spans="1:34" s="4" customFormat="1" ht="11.25" x14ac:dyDescent="0.2">
      <c r="A7" s="2" t="s">
        <v>48</v>
      </c>
      <c r="B7" s="72">
        <f>B6*B4</f>
        <v>467.5</v>
      </c>
      <c r="C7" s="60"/>
      <c r="E7" s="3"/>
      <c r="F7" s="3"/>
      <c r="G7" s="3"/>
      <c r="H7" s="3"/>
      <c r="I7" s="3"/>
      <c r="J7" s="3"/>
      <c r="K7" s="3"/>
      <c r="L7" s="3"/>
      <c r="M7" s="3"/>
      <c r="N7" s="3"/>
      <c r="O7" s="3"/>
      <c r="P7" s="3"/>
      <c r="Q7" s="3"/>
      <c r="R7" s="3"/>
      <c r="S7" s="3"/>
      <c r="T7" s="3"/>
      <c r="U7" s="3"/>
      <c r="V7" s="3"/>
      <c r="W7" s="3"/>
      <c r="X7" s="3"/>
      <c r="Y7" s="3"/>
      <c r="Z7" s="3"/>
      <c r="AA7" s="3"/>
      <c r="AB7" s="3"/>
      <c r="AC7" s="100"/>
    </row>
    <row r="8" spans="1:34" s="4" customFormat="1" ht="11.25" x14ac:dyDescent="0.2">
      <c r="A8" s="2" t="s">
        <v>49</v>
      </c>
      <c r="B8" s="70">
        <f>B7/B5</f>
        <v>311.66666666666669</v>
      </c>
      <c r="C8" s="59"/>
      <c r="E8" s="3"/>
      <c r="F8" s="3"/>
      <c r="G8" s="3"/>
      <c r="H8" s="3"/>
      <c r="I8" s="3"/>
      <c r="J8" s="3"/>
      <c r="K8" s="3"/>
      <c r="L8" s="3"/>
      <c r="M8" s="3"/>
      <c r="N8" s="3"/>
      <c r="O8" s="3"/>
      <c r="P8" s="3"/>
      <c r="Q8" s="3"/>
      <c r="R8" s="3"/>
      <c r="S8" s="3"/>
      <c r="T8" s="3"/>
      <c r="U8" s="3"/>
      <c r="V8" s="3"/>
      <c r="W8" s="3"/>
      <c r="X8" s="3"/>
      <c r="Y8" s="3"/>
      <c r="Z8" s="3"/>
      <c r="AA8" s="3"/>
      <c r="AB8" s="3"/>
      <c r="AC8" s="100"/>
    </row>
    <row r="9" spans="1:34" s="4" customFormat="1" ht="11.25" x14ac:dyDescent="0.2">
      <c r="A9" s="2" t="s">
        <v>50</v>
      </c>
      <c r="B9" s="72">
        <f>B4*C9</f>
        <v>17</v>
      </c>
      <c r="C9" s="59">
        <v>1</v>
      </c>
      <c r="D9" s="4" t="s">
        <v>51</v>
      </c>
      <c r="E9" s="3"/>
      <c r="F9" s="3"/>
      <c r="G9" s="92" t="s">
        <v>52</v>
      </c>
      <c r="H9" s="93">
        <v>0.4</v>
      </c>
      <c r="I9" s="3"/>
      <c r="J9" s="3"/>
      <c r="K9" s="3"/>
      <c r="L9" s="3"/>
      <c r="M9" s="3"/>
      <c r="N9" s="3"/>
      <c r="O9" s="3"/>
      <c r="P9" s="3"/>
      <c r="Q9" s="3"/>
      <c r="R9" s="3"/>
      <c r="S9" s="3"/>
      <c r="T9" s="3"/>
      <c r="U9" s="3"/>
      <c r="V9" s="3"/>
      <c r="W9" s="3"/>
      <c r="X9" s="3"/>
      <c r="Y9" s="3"/>
      <c r="Z9" s="3"/>
      <c r="AA9" s="3"/>
      <c r="AB9" s="3"/>
      <c r="AC9" s="100"/>
    </row>
    <row r="10" spans="1:34" s="4" customFormat="1" ht="11.25" x14ac:dyDescent="0.2">
      <c r="A10" s="2" t="s">
        <v>53</v>
      </c>
      <c r="B10" s="72">
        <f>B4*C10</f>
        <v>105.4</v>
      </c>
      <c r="C10" s="59">
        <v>6.2</v>
      </c>
      <c r="D10" s="4" t="s">
        <v>51</v>
      </c>
      <c r="E10" s="3"/>
      <c r="F10" s="3"/>
      <c r="G10" s="94" t="s">
        <v>54</v>
      </c>
      <c r="H10" s="93">
        <v>0.26400000000000001</v>
      </c>
      <c r="I10" s="3"/>
      <c r="J10" s="3"/>
      <c r="K10" s="3"/>
      <c r="L10" s="3"/>
      <c r="M10" s="3"/>
      <c r="N10" s="3"/>
      <c r="O10" s="3"/>
      <c r="P10" s="3"/>
      <c r="Q10" s="3"/>
      <c r="R10" s="3"/>
      <c r="S10" s="3"/>
      <c r="T10" s="3"/>
      <c r="U10" s="3"/>
      <c r="V10" s="3"/>
      <c r="W10" s="3"/>
      <c r="X10" s="3"/>
      <c r="Y10" s="3"/>
      <c r="Z10" s="3"/>
      <c r="AA10" s="3"/>
      <c r="AB10" s="3"/>
    </row>
    <row r="11" spans="1:34" s="4" customFormat="1" ht="11.25" x14ac:dyDescent="0.2">
      <c r="A11" s="2" t="s">
        <v>55</v>
      </c>
      <c r="B11" s="4">
        <f>C11*B4</f>
        <v>34</v>
      </c>
      <c r="C11" s="5">
        <v>2</v>
      </c>
      <c r="D11" s="7" t="s">
        <v>51</v>
      </c>
      <c r="E11" s="7"/>
      <c r="F11" s="3"/>
      <c r="G11" s="3"/>
      <c r="H11" s="3"/>
      <c r="I11" s="3"/>
      <c r="J11" s="3"/>
      <c r="K11" s="3"/>
      <c r="L11" s="3"/>
      <c r="M11" s="3"/>
      <c r="N11" s="3"/>
      <c r="O11" s="3"/>
      <c r="P11" s="3"/>
      <c r="Q11" s="3"/>
      <c r="R11" s="3"/>
      <c r="S11" s="3"/>
      <c r="T11" s="3"/>
      <c r="U11" s="3"/>
      <c r="V11" s="3"/>
      <c r="W11" s="3"/>
      <c r="X11" s="3"/>
      <c r="Y11" s="3"/>
      <c r="Z11" s="3"/>
      <c r="AA11" s="3"/>
      <c r="AB11" s="3"/>
    </row>
    <row r="12" spans="1:34" s="4" customFormat="1" ht="11.25" x14ac:dyDescent="0.2">
      <c r="C12" s="7"/>
      <c r="D12" s="7"/>
      <c r="E12" s="7"/>
      <c r="F12" s="3"/>
      <c r="G12" s="3"/>
      <c r="H12" s="3"/>
      <c r="I12" s="3"/>
      <c r="J12" s="3"/>
      <c r="K12" s="3"/>
      <c r="L12" s="3"/>
      <c r="M12" s="3"/>
      <c r="N12" s="3"/>
      <c r="O12" s="3"/>
      <c r="P12" s="3"/>
      <c r="Q12" s="3"/>
      <c r="R12" s="3"/>
      <c r="S12" s="3"/>
      <c r="T12" s="3"/>
      <c r="U12" s="3"/>
      <c r="V12" s="3"/>
      <c r="W12" s="3"/>
      <c r="X12" s="3"/>
      <c r="Y12" s="3"/>
      <c r="Z12" s="3"/>
      <c r="AA12" s="3"/>
      <c r="AB12" s="3"/>
    </row>
    <row r="13" spans="1:34" s="10" customFormat="1" ht="59.25" x14ac:dyDescent="0.2">
      <c r="A13" s="8" t="s">
        <v>56</v>
      </c>
      <c r="B13" s="9" t="s">
        <v>57</v>
      </c>
      <c r="C13" s="9" t="s">
        <v>57</v>
      </c>
      <c r="D13" s="9" t="s">
        <v>57</v>
      </c>
      <c r="E13" s="9" t="s">
        <v>57</v>
      </c>
      <c r="F13" s="9" t="s">
        <v>57</v>
      </c>
      <c r="G13" s="9" t="s">
        <v>57</v>
      </c>
      <c r="H13" s="9" t="s">
        <v>58</v>
      </c>
      <c r="I13" s="9" t="s">
        <v>58</v>
      </c>
      <c r="J13" s="9" t="s">
        <v>58</v>
      </c>
      <c r="K13" s="9" t="s">
        <v>59</v>
      </c>
      <c r="L13" s="9" t="s">
        <v>60</v>
      </c>
      <c r="M13" s="9" t="s">
        <v>60</v>
      </c>
      <c r="N13" s="9" t="s">
        <v>61</v>
      </c>
      <c r="O13" s="9" t="s">
        <v>61</v>
      </c>
      <c r="P13" s="9" t="s">
        <v>61</v>
      </c>
      <c r="Q13" s="9" t="s">
        <v>61</v>
      </c>
      <c r="R13" s="9" t="s">
        <v>62</v>
      </c>
      <c r="S13" s="9" t="s">
        <v>62</v>
      </c>
      <c r="T13" s="9" t="s">
        <v>62</v>
      </c>
      <c r="U13" s="9" t="s">
        <v>62</v>
      </c>
      <c r="V13" s="9" t="s">
        <v>62</v>
      </c>
      <c r="W13" s="9" t="s">
        <v>62</v>
      </c>
      <c r="X13" s="9" t="s">
        <v>61</v>
      </c>
      <c r="Y13" s="9" t="s">
        <v>61</v>
      </c>
      <c r="Z13" s="9" t="s">
        <v>61</v>
      </c>
      <c r="AA13" s="9" t="s">
        <v>61</v>
      </c>
      <c r="AB13" s="191" t="s">
        <v>61</v>
      </c>
      <c r="AC13" s="115" t="s">
        <v>63</v>
      </c>
      <c r="AD13" s="114"/>
      <c r="AE13" s="114"/>
      <c r="AF13" s="114"/>
      <c r="AG13" s="114"/>
      <c r="AH13" s="114"/>
    </row>
    <row r="14" spans="1:34" s="13" customFormat="1" x14ac:dyDescent="0.2">
      <c r="A14" s="8" t="s">
        <v>64</v>
      </c>
      <c r="B14" s="201" t="s">
        <v>65</v>
      </c>
      <c r="C14" s="201" t="s">
        <v>66</v>
      </c>
      <c r="D14" s="201" t="s">
        <v>67</v>
      </c>
      <c r="E14" s="201" t="s">
        <v>68</v>
      </c>
      <c r="F14" s="201" t="s">
        <v>69</v>
      </c>
      <c r="G14" s="201" t="s">
        <v>70</v>
      </c>
      <c r="H14" s="201" t="s">
        <v>71</v>
      </c>
      <c r="I14" s="201" t="s">
        <v>72</v>
      </c>
      <c r="J14" s="201" t="s">
        <v>73</v>
      </c>
      <c r="K14" s="201" t="s">
        <v>74</v>
      </c>
      <c r="L14" s="201" t="s">
        <v>75</v>
      </c>
      <c r="M14" s="201" t="s">
        <v>76</v>
      </c>
      <c r="N14" s="201" t="s">
        <v>77</v>
      </c>
      <c r="O14" s="201" t="s">
        <v>78</v>
      </c>
      <c r="P14" s="201" t="s">
        <v>79</v>
      </c>
      <c r="Q14" s="201" t="s">
        <v>80</v>
      </c>
      <c r="R14" s="201" t="s">
        <v>81</v>
      </c>
      <c r="S14" s="201" t="s">
        <v>82</v>
      </c>
      <c r="T14" s="201" t="s">
        <v>83</v>
      </c>
      <c r="U14" s="201" t="s">
        <v>84</v>
      </c>
      <c r="V14" s="201" t="s">
        <v>85</v>
      </c>
      <c r="W14" s="201" t="s">
        <v>86</v>
      </c>
      <c r="X14" s="201" t="s">
        <v>87</v>
      </c>
      <c r="Y14" s="201" t="s">
        <v>88</v>
      </c>
      <c r="Z14" s="201" t="s">
        <v>89</v>
      </c>
      <c r="AA14" s="201" t="s">
        <v>90</v>
      </c>
      <c r="AB14" s="343" t="s">
        <v>91</v>
      </c>
      <c r="AC14" s="11" t="s">
        <v>92</v>
      </c>
      <c r="AD14" s="12"/>
      <c r="AE14" s="12"/>
      <c r="AF14" s="12"/>
      <c r="AG14" s="12"/>
      <c r="AH14" s="12"/>
    </row>
    <row r="15" spans="1:34" s="13" customFormat="1" x14ac:dyDescent="0.2">
      <c r="A15" s="8" t="s">
        <v>93</v>
      </c>
      <c r="B15" s="201">
        <v>1</v>
      </c>
      <c r="C15" s="201">
        <v>2</v>
      </c>
      <c r="D15" s="201">
        <v>3</v>
      </c>
      <c r="E15" s="201">
        <v>4</v>
      </c>
      <c r="F15" s="201">
        <v>5</v>
      </c>
      <c r="G15" s="201">
        <v>6</v>
      </c>
      <c r="H15" s="201">
        <v>7</v>
      </c>
      <c r="I15" s="201">
        <v>8</v>
      </c>
      <c r="J15" s="201">
        <v>9</v>
      </c>
      <c r="K15" s="201">
        <v>10</v>
      </c>
      <c r="L15" s="201">
        <v>11</v>
      </c>
      <c r="M15" s="201">
        <v>12</v>
      </c>
      <c r="N15" s="201">
        <v>13</v>
      </c>
      <c r="O15" s="201">
        <v>14</v>
      </c>
      <c r="P15" s="201">
        <v>15</v>
      </c>
      <c r="Q15" s="201">
        <v>16</v>
      </c>
      <c r="R15" s="201">
        <v>17</v>
      </c>
      <c r="S15" s="201">
        <v>18</v>
      </c>
      <c r="T15" s="201">
        <v>19</v>
      </c>
      <c r="U15" s="201">
        <v>20</v>
      </c>
      <c r="V15" s="201">
        <v>21</v>
      </c>
      <c r="W15" s="201">
        <v>22</v>
      </c>
      <c r="X15" s="201">
        <v>23</v>
      </c>
      <c r="Y15" s="201">
        <v>24</v>
      </c>
      <c r="Z15" s="201">
        <v>25</v>
      </c>
      <c r="AA15" s="201">
        <v>26</v>
      </c>
      <c r="AB15" s="343">
        <v>27</v>
      </c>
      <c r="AC15" s="11">
        <v>28</v>
      </c>
      <c r="AD15" s="12"/>
      <c r="AE15" s="12"/>
      <c r="AF15" s="12"/>
      <c r="AG15" s="12"/>
      <c r="AH15" s="12"/>
    </row>
    <row r="16" spans="1:34" x14ac:dyDescent="0.2">
      <c r="A16" s="8" t="s">
        <v>94</v>
      </c>
      <c r="B16" s="436" t="s">
        <v>95</v>
      </c>
      <c r="C16" s="437"/>
      <c r="D16" s="437"/>
      <c r="E16" s="438"/>
      <c r="F16" s="436" t="s">
        <v>96</v>
      </c>
      <c r="G16" s="437"/>
      <c r="H16" s="437"/>
      <c r="I16" s="437"/>
      <c r="J16" s="438"/>
      <c r="K16" s="436" t="s">
        <v>97</v>
      </c>
      <c r="L16" s="437"/>
      <c r="M16" s="438"/>
      <c r="N16" s="436" t="s">
        <v>61</v>
      </c>
      <c r="O16" s="437"/>
      <c r="P16" s="437"/>
      <c r="Q16" s="438"/>
      <c r="R16" s="436" t="s">
        <v>98</v>
      </c>
      <c r="S16" s="437"/>
      <c r="T16" s="437"/>
      <c r="U16" s="437"/>
      <c r="V16" s="437"/>
      <c r="W16" s="438"/>
      <c r="X16" s="436" t="s">
        <v>99</v>
      </c>
      <c r="Y16" s="437"/>
      <c r="Z16" s="437"/>
      <c r="AA16" s="437"/>
      <c r="AB16" s="437"/>
      <c r="AC16" s="11" t="s">
        <v>100</v>
      </c>
      <c r="AD16" s="14"/>
      <c r="AE16" s="14"/>
      <c r="AF16" s="14"/>
      <c r="AG16" s="14"/>
      <c r="AH16" s="14"/>
    </row>
    <row r="17" spans="1:34" ht="12.75" x14ac:dyDescent="0.2">
      <c r="A17" s="96" t="s">
        <v>101</v>
      </c>
      <c r="B17" s="202"/>
      <c r="C17" s="203"/>
      <c r="D17" s="203"/>
      <c r="E17" s="203"/>
      <c r="F17" s="203"/>
      <c r="G17" s="203"/>
      <c r="H17" s="203"/>
      <c r="I17" s="203"/>
      <c r="J17" s="203"/>
      <c r="K17" s="203"/>
      <c r="L17" s="203"/>
      <c r="M17" s="203"/>
      <c r="N17" s="203"/>
      <c r="O17" s="203"/>
      <c r="P17" s="203"/>
      <c r="Q17" s="203"/>
      <c r="R17" s="203"/>
      <c r="S17" s="203"/>
      <c r="T17" s="204"/>
      <c r="U17" s="203"/>
      <c r="V17" s="203"/>
      <c r="W17" s="203"/>
      <c r="X17" s="203"/>
      <c r="Y17" s="203"/>
      <c r="Z17" s="203"/>
      <c r="AA17" s="203"/>
      <c r="AB17" s="203"/>
      <c r="AC17" s="19"/>
      <c r="AD17" s="14"/>
      <c r="AE17" s="14"/>
      <c r="AF17" s="14"/>
      <c r="AG17" s="14"/>
      <c r="AH17" s="14"/>
    </row>
    <row r="18" spans="1:34" s="97" customFormat="1" x14ac:dyDescent="0.2">
      <c r="A18" s="37" t="s">
        <v>102</v>
      </c>
      <c r="B18" s="132">
        <f>B87</f>
        <v>0</v>
      </c>
      <c r="C18" s="132">
        <f t="shared" ref="C18:AB18" si="0">C87</f>
        <v>0</v>
      </c>
      <c r="D18" s="132">
        <f t="shared" si="0"/>
        <v>0</v>
      </c>
      <c r="E18" s="132">
        <f t="shared" si="0"/>
        <v>0</v>
      </c>
      <c r="F18" s="132">
        <f t="shared" si="0"/>
        <v>0</v>
      </c>
      <c r="G18" s="132">
        <f t="shared" si="0"/>
        <v>4.9431538436497391E-2</v>
      </c>
      <c r="H18" s="132">
        <f t="shared" si="0"/>
        <v>2.0494315384364974</v>
      </c>
      <c r="I18" s="132">
        <f t="shared" si="0"/>
        <v>2.0494315384364974</v>
      </c>
      <c r="J18" s="132">
        <f t="shared" si="0"/>
        <v>12.049431538436497</v>
      </c>
      <c r="K18" s="132">
        <f t="shared" si="0"/>
        <v>37.049431538436494</v>
      </c>
      <c r="L18" s="132">
        <f t="shared" si="0"/>
        <v>80</v>
      </c>
      <c r="M18" s="132">
        <f t="shared" si="0"/>
        <v>80</v>
      </c>
      <c r="N18" s="132">
        <f t="shared" si="0"/>
        <v>80</v>
      </c>
      <c r="O18" s="132">
        <f t="shared" si="0"/>
        <v>80</v>
      </c>
      <c r="P18" s="132">
        <f t="shared" si="0"/>
        <v>80</v>
      </c>
      <c r="Q18" s="132">
        <f t="shared" si="0"/>
        <v>80</v>
      </c>
      <c r="R18" s="132">
        <f t="shared" si="0"/>
        <v>80</v>
      </c>
      <c r="S18" s="132">
        <f t="shared" si="0"/>
        <v>80</v>
      </c>
      <c r="T18" s="132">
        <f t="shared" si="0"/>
        <v>80</v>
      </c>
      <c r="U18" s="132">
        <f t="shared" si="0"/>
        <v>80</v>
      </c>
      <c r="V18" s="132">
        <f t="shared" si="0"/>
        <v>80</v>
      </c>
      <c r="W18" s="132">
        <f t="shared" si="0"/>
        <v>80</v>
      </c>
      <c r="X18" s="132">
        <f t="shared" si="0"/>
        <v>76.049431538436494</v>
      </c>
      <c r="Y18" s="132">
        <f t="shared" si="0"/>
        <v>73.049431538436494</v>
      </c>
      <c r="Z18" s="132">
        <f t="shared" si="0"/>
        <v>67.049431538436494</v>
      </c>
      <c r="AA18" s="132">
        <f t="shared" si="0"/>
        <v>66.049431538436494</v>
      </c>
      <c r="AB18" s="192">
        <f t="shared" si="0"/>
        <v>63.049431538436494</v>
      </c>
      <c r="AC18" s="132">
        <f>IF(AC86&lt;80,AC87,MIN(AC86,80))</f>
        <v>0</v>
      </c>
      <c r="AD18" s="4"/>
      <c r="AF18" s="98"/>
      <c r="AG18" s="99"/>
      <c r="AH18" s="100"/>
    </row>
    <row r="19" spans="1:34" x14ac:dyDescent="0.2">
      <c r="A19" s="24" t="s">
        <v>103</v>
      </c>
      <c r="B19" s="178">
        <v>0.5</v>
      </c>
      <c r="C19" s="178">
        <v>0.5</v>
      </c>
      <c r="D19" s="178">
        <v>0.5</v>
      </c>
      <c r="E19" s="178">
        <v>0.5</v>
      </c>
      <c r="F19" s="178">
        <v>0.5</v>
      </c>
      <c r="G19" s="178">
        <v>0.5</v>
      </c>
      <c r="H19" s="178">
        <v>0.55000000000000004</v>
      </c>
      <c r="I19" s="178">
        <v>0.6</v>
      </c>
      <c r="J19" s="178">
        <v>0.65</v>
      </c>
      <c r="K19" s="178">
        <v>0.7</v>
      </c>
      <c r="L19" s="178">
        <v>0.7</v>
      </c>
      <c r="M19" s="178">
        <v>0.7</v>
      </c>
      <c r="N19" s="178">
        <v>0.7</v>
      </c>
      <c r="O19" s="178">
        <v>0.7</v>
      </c>
      <c r="P19" s="178">
        <v>0.7</v>
      </c>
      <c r="Q19" s="178">
        <v>0.4</v>
      </c>
      <c r="R19" s="178">
        <v>0.8</v>
      </c>
      <c r="S19" s="178">
        <v>0.8</v>
      </c>
      <c r="T19" s="178">
        <v>0.8</v>
      </c>
      <c r="U19" s="178">
        <v>0.8</v>
      </c>
      <c r="V19" s="178">
        <v>0.8</v>
      </c>
      <c r="W19" s="178">
        <v>0.7</v>
      </c>
      <c r="X19" s="178">
        <v>0.4</v>
      </c>
      <c r="Y19" s="178">
        <v>0.6</v>
      </c>
      <c r="Z19" s="178">
        <v>0.6</v>
      </c>
      <c r="AA19" s="178">
        <v>0.6</v>
      </c>
      <c r="AB19" s="187">
        <v>0.6</v>
      </c>
      <c r="AC19" s="20">
        <v>0.4</v>
      </c>
      <c r="AD19" s="21"/>
      <c r="AE19" s="21"/>
      <c r="AF19" s="22"/>
      <c r="AG19" s="12"/>
      <c r="AH19" s="23"/>
    </row>
    <row r="20" spans="1:34" x14ac:dyDescent="0.2">
      <c r="A20" s="177" t="s">
        <v>104</v>
      </c>
      <c r="B20" s="182"/>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25"/>
      <c r="AD20" s="21"/>
      <c r="AE20" s="21"/>
      <c r="AF20" s="22"/>
      <c r="AG20" s="12"/>
      <c r="AH20" s="23"/>
    </row>
    <row r="21" spans="1:34" s="27" customFormat="1" x14ac:dyDescent="0.2">
      <c r="A21" s="24" t="s">
        <v>105</v>
      </c>
      <c r="B21" s="179">
        <f t="shared" ref="B21:AC21" si="1">B19*$B$8</f>
        <v>155.83333333333334</v>
      </c>
      <c r="C21" s="179">
        <f t="shared" si="1"/>
        <v>155.83333333333334</v>
      </c>
      <c r="D21" s="179">
        <f t="shared" si="1"/>
        <v>155.83333333333334</v>
      </c>
      <c r="E21" s="179">
        <f t="shared" si="1"/>
        <v>155.83333333333334</v>
      </c>
      <c r="F21" s="179">
        <f t="shared" si="1"/>
        <v>155.83333333333334</v>
      </c>
      <c r="G21" s="179">
        <f t="shared" si="1"/>
        <v>155.83333333333334</v>
      </c>
      <c r="H21" s="179">
        <f t="shared" si="1"/>
        <v>171.41666666666669</v>
      </c>
      <c r="I21" s="179">
        <f t="shared" si="1"/>
        <v>187</v>
      </c>
      <c r="J21" s="179">
        <f t="shared" si="1"/>
        <v>202.58333333333334</v>
      </c>
      <c r="K21" s="179">
        <f t="shared" si="1"/>
        <v>218.16666666666666</v>
      </c>
      <c r="L21" s="179">
        <f t="shared" si="1"/>
        <v>218.16666666666666</v>
      </c>
      <c r="M21" s="179">
        <f t="shared" si="1"/>
        <v>218.16666666666666</v>
      </c>
      <c r="N21" s="179">
        <f t="shared" si="1"/>
        <v>218.16666666666666</v>
      </c>
      <c r="O21" s="179">
        <f t="shared" si="1"/>
        <v>218.16666666666666</v>
      </c>
      <c r="P21" s="179">
        <f t="shared" si="1"/>
        <v>218.16666666666666</v>
      </c>
      <c r="Q21" s="179">
        <f t="shared" si="1"/>
        <v>124.66666666666669</v>
      </c>
      <c r="R21" s="179">
        <f t="shared" si="1"/>
        <v>249.33333333333337</v>
      </c>
      <c r="S21" s="179">
        <f t="shared" si="1"/>
        <v>249.33333333333337</v>
      </c>
      <c r="T21" s="179">
        <f t="shared" si="1"/>
        <v>249.33333333333337</v>
      </c>
      <c r="U21" s="179">
        <f t="shared" si="1"/>
        <v>249.33333333333337</v>
      </c>
      <c r="V21" s="179">
        <f t="shared" si="1"/>
        <v>249.33333333333337</v>
      </c>
      <c r="W21" s="179">
        <f t="shared" si="1"/>
        <v>218.16666666666666</v>
      </c>
      <c r="X21" s="179">
        <f t="shared" si="1"/>
        <v>124.66666666666669</v>
      </c>
      <c r="Y21" s="179">
        <f t="shared" si="1"/>
        <v>187</v>
      </c>
      <c r="Z21" s="179">
        <f t="shared" si="1"/>
        <v>187</v>
      </c>
      <c r="AA21" s="179">
        <f t="shared" si="1"/>
        <v>187</v>
      </c>
      <c r="AB21" s="188">
        <f t="shared" si="1"/>
        <v>187</v>
      </c>
      <c r="AC21" s="25">
        <f t="shared" si="1"/>
        <v>124.66666666666669</v>
      </c>
      <c r="AD21" s="26"/>
      <c r="AE21" s="26"/>
      <c r="AF21" s="26"/>
      <c r="AG21" s="26"/>
      <c r="AH21" s="26"/>
    </row>
    <row r="22" spans="1:34" s="30" customFormat="1" x14ac:dyDescent="0.2">
      <c r="A22" s="24" t="s">
        <v>106</v>
      </c>
      <c r="B22" s="28">
        <f t="shared" ref="B22:AC22" si="2">B21*$B$5</f>
        <v>233.75</v>
      </c>
      <c r="C22" s="28">
        <f t="shared" si="2"/>
        <v>233.75</v>
      </c>
      <c r="D22" s="28">
        <f t="shared" si="2"/>
        <v>233.75</v>
      </c>
      <c r="E22" s="28">
        <f t="shared" si="2"/>
        <v>233.75</v>
      </c>
      <c r="F22" s="28">
        <f t="shared" si="2"/>
        <v>233.75</v>
      </c>
      <c r="G22" s="28">
        <f t="shared" si="2"/>
        <v>233.75</v>
      </c>
      <c r="H22" s="28">
        <f t="shared" si="2"/>
        <v>257.125</v>
      </c>
      <c r="I22" s="28">
        <f t="shared" si="2"/>
        <v>280.5</v>
      </c>
      <c r="J22" s="28">
        <f t="shared" si="2"/>
        <v>303.875</v>
      </c>
      <c r="K22" s="28">
        <f t="shared" si="2"/>
        <v>327.25</v>
      </c>
      <c r="L22" s="28">
        <f t="shared" si="2"/>
        <v>327.25</v>
      </c>
      <c r="M22" s="28">
        <f t="shared" si="2"/>
        <v>327.25</v>
      </c>
      <c r="N22" s="28">
        <f t="shared" si="2"/>
        <v>327.25</v>
      </c>
      <c r="O22" s="28">
        <f t="shared" si="2"/>
        <v>327.25</v>
      </c>
      <c r="P22" s="28">
        <f t="shared" si="2"/>
        <v>327.25</v>
      </c>
      <c r="Q22" s="28">
        <f t="shared" si="2"/>
        <v>187.00000000000003</v>
      </c>
      <c r="R22" s="28">
        <f t="shared" si="2"/>
        <v>374.00000000000006</v>
      </c>
      <c r="S22" s="28">
        <f t="shared" si="2"/>
        <v>374.00000000000006</v>
      </c>
      <c r="T22" s="28">
        <f t="shared" si="2"/>
        <v>374.00000000000006</v>
      </c>
      <c r="U22" s="28">
        <f t="shared" si="2"/>
        <v>374.00000000000006</v>
      </c>
      <c r="V22" s="28">
        <f t="shared" si="2"/>
        <v>374.00000000000006</v>
      </c>
      <c r="W22" s="28">
        <f t="shared" si="2"/>
        <v>327.25</v>
      </c>
      <c r="X22" s="28">
        <f t="shared" si="2"/>
        <v>187.00000000000003</v>
      </c>
      <c r="Y22" s="28">
        <f t="shared" si="2"/>
        <v>280.5</v>
      </c>
      <c r="Z22" s="28">
        <f t="shared" si="2"/>
        <v>280.5</v>
      </c>
      <c r="AA22" s="28">
        <f t="shared" si="2"/>
        <v>280.5</v>
      </c>
      <c r="AB22" s="175">
        <f t="shared" si="2"/>
        <v>280.5</v>
      </c>
      <c r="AC22" s="28">
        <f t="shared" si="2"/>
        <v>187.00000000000003</v>
      </c>
      <c r="AD22" s="29"/>
      <c r="AE22" s="29"/>
      <c r="AF22" s="29"/>
      <c r="AG22" s="29"/>
      <c r="AH22" s="29"/>
    </row>
    <row r="23" spans="1:34" s="30" customFormat="1" x14ac:dyDescent="0.2">
      <c r="A23" s="24" t="s">
        <v>107</v>
      </c>
      <c r="B23" s="101">
        <f>$B$9</f>
        <v>17</v>
      </c>
      <c r="C23" s="101">
        <f t="shared" ref="C23:AC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01">
        <f t="shared" si="3"/>
        <v>17</v>
      </c>
      <c r="N23" s="101">
        <f t="shared" si="3"/>
        <v>17</v>
      </c>
      <c r="O23" s="101">
        <f t="shared" si="3"/>
        <v>17</v>
      </c>
      <c r="P23" s="101">
        <f t="shared" si="3"/>
        <v>17</v>
      </c>
      <c r="Q23" s="101">
        <f t="shared" si="3"/>
        <v>17</v>
      </c>
      <c r="R23" s="101">
        <f t="shared" si="3"/>
        <v>17</v>
      </c>
      <c r="S23" s="101">
        <f t="shared" si="3"/>
        <v>17</v>
      </c>
      <c r="T23" s="101">
        <f t="shared" si="3"/>
        <v>17</v>
      </c>
      <c r="U23" s="101">
        <f t="shared" si="3"/>
        <v>17</v>
      </c>
      <c r="V23" s="101">
        <f t="shared" si="3"/>
        <v>17</v>
      </c>
      <c r="W23" s="101">
        <f t="shared" si="3"/>
        <v>17</v>
      </c>
      <c r="X23" s="101">
        <f t="shared" si="3"/>
        <v>17</v>
      </c>
      <c r="Y23" s="101">
        <f t="shared" si="3"/>
        <v>17</v>
      </c>
      <c r="Z23" s="101">
        <f t="shared" si="3"/>
        <v>17</v>
      </c>
      <c r="AA23" s="101">
        <f t="shared" si="3"/>
        <v>17</v>
      </c>
      <c r="AB23" s="189">
        <f t="shared" si="3"/>
        <v>17</v>
      </c>
      <c r="AC23" s="101">
        <f t="shared" si="3"/>
        <v>17</v>
      </c>
      <c r="AD23" s="29"/>
      <c r="AE23" s="29"/>
      <c r="AF23" s="29"/>
      <c r="AG23" s="29"/>
      <c r="AH23" s="29"/>
    </row>
    <row r="24" spans="1:34" s="30" customFormat="1" x14ac:dyDescent="0.2">
      <c r="A24" s="24" t="s">
        <v>108</v>
      </c>
      <c r="B24" s="101">
        <f t="shared" ref="B24:AB24" si="4">IF(ISBLANK(B118),0,$B$10)</f>
        <v>0</v>
      </c>
      <c r="C24" s="101">
        <f t="shared" si="4"/>
        <v>0</v>
      </c>
      <c r="D24" s="101">
        <f t="shared" si="4"/>
        <v>0</v>
      </c>
      <c r="E24" s="101">
        <f t="shared" si="4"/>
        <v>0</v>
      </c>
      <c r="F24" s="101">
        <f t="shared" si="4"/>
        <v>0</v>
      </c>
      <c r="G24" s="101">
        <f t="shared" si="4"/>
        <v>0</v>
      </c>
      <c r="H24" s="101">
        <f t="shared" si="4"/>
        <v>0</v>
      </c>
      <c r="I24" s="101">
        <f t="shared" si="4"/>
        <v>0</v>
      </c>
      <c r="J24" s="101">
        <f t="shared" si="4"/>
        <v>105.4</v>
      </c>
      <c r="K24" s="101">
        <f t="shared" si="4"/>
        <v>0</v>
      </c>
      <c r="L24" s="101">
        <f t="shared" si="4"/>
        <v>105.4</v>
      </c>
      <c r="M24" s="101">
        <f t="shared" si="4"/>
        <v>105.4</v>
      </c>
      <c r="N24" s="101">
        <f t="shared" si="4"/>
        <v>0</v>
      </c>
      <c r="O24" s="101">
        <f t="shared" si="4"/>
        <v>0</v>
      </c>
      <c r="P24" s="101">
        <f t="shared" si="4"/>
        <v>105.4</v>
      </c>
      <c r="Q24" s="101">
        <f t="shared" si="4"/>
        <v>0</v>
      </c>
      <c r="R24" s="101">
        <f t="shared" si="4"/>
        <v>105.4</v>
      </c>
      <c r="S24" s="101">
        <f t="shared" si="4"/>
        <v>105.4</v>
      </c>
      <c r="T24" s="101">
        <f t="shared" si="4"/>
        <v>105.4</v>
      </c>
      <c r="U24" s="101">
        <f t="shared" si="4"/>
        <v>105.4</v>
      </c>
      <c r="V24" s="101">
        <f t="shared" si="4"/>
        <v>105.4</v>
      </c>
      <c r="W24" s="101">
        <f t="shared" si="4"/>
        <v>105.4</v>
      </c>
      <c r="X24" s="101">
        <f t="shared" si="4"/>
        <v>0</v>
      </c>
      <c r="Y24" s="101">
        <f t="shared" si="4"/>
        <v>0</v>
      </c>
      <c r="Z24" s="101">
        <f t="shared" si="4"/>
        <v>0</v>
      </c>
      <c r="AA24" s="101">
        <f t="shared" si="4"/>
        <v>0</v>
      </c>
      <c r="AB24" s="189">
        <f t="shared" si="4"/>
        <v>0</v>
      </c>
      <c r="AC24" s="101">
        <f>IF(ISBLANK(AC106),0,$B$10)</f>
        <v>0</v>
      </c>
      <c r="AD24" s="29"/>
      <c r="AE24" s="29"/>
      <c r="AF24" s="29"/>
      <c r="AG24" s="29"/>
      <c r="AH24" s="29"/>
    </row>
    <row r="25" spans="1:34" s="30" customFormat="1" x14ac:dyDescent="0.2">
      <c r="A25" s="24" t="s">
        <v>109</v>
      </c>
      <c r="B25" s="28">
        <f t="shared" ref="B25:AC25" si="5">B21*$B$5+SUM(B23:B24)</f>
        <v>250.75</v>
      </c>
      <c r="C25" s="28">
        <f t="shared" si="5"/>
        <v>250.75</v>
      </c>
      <c r="D25" s="28">
        <f t="shared" si="5"/>
        <v>250.75</v>
      </c>
      <c r="E25" s="28">
        <f t="shared" si="5"/>
        <v>250.75</v>
      </c>
      <c r="F25" s="28">
        <f t="shared" si="5"/>
        <v>250.75</v>
      </c>
      <c r="G25" s="28">
        <f t="shared" si="5"/>
        <v>250.75</v>
      </c>
      <c r="H25" s="28">
        <f t="shared" si="5"/>
        <v>274.125</v>
      </c>
      <c r="I25" s="28">
        <f t="shared" si="5"/>
        <v>297.5</v>
      </c>
      <c r="J25" s="28">
        <f t="shared" si="5"/>
        <v>426.27499999999998</v>
      </c>
      <c r="K25" s="28">
        <f t="shared" si="5"/>
        <v>344.25</v>
      </c>
      <c r="L25" s="28">
        <f t="shared" si="5"/>
        <v>449.65</v>
      </c>
      <c r="M25" s="28">
        <f t="shared" si="5"/>
        <v>449.65</v>
      </c>
      <c r="N25" s="28">
        <f t="shared" si="5"/>
        <v>344.25</v>
      </c>
      <c r="O25" s="28">
        <f t="shared" si="5"/>
        <v>344.25</v>
      </c>
      <c r="P25" s="28">
        <f t="shared" si="5"/>
        <v>449.65</v>
      </c>
      <c r="Q25" s="28">
        <f t="shared" si="5"/>
        <v>204.00000000000003</v>
      </c>
      <c r="R25" s="28">
        <f t="shared" si="5"/>
        <v>496.40000000000009</v>
      </c>
      <c r="S25" s="28">
        <f t="shared" si="5"/>
        <v>496.40000000000009</v>
      </c>
      <c r="T25" s="28">
        <f t="shared" si="5"/>
        <v>496.40000000000009</v>
      </c>
      <c r="U25" s="28">
        <f t="shared" si="5"/>
        <v>496.40000000000009</v>
      </c>
      <c r="V25" s="28">
        <f t="shared" si="5"/>
        <v>496.40000000000009</v>
      </c>
      <c r="W25" s="28">
        <f t="shared" si="5"/>
        <v>449.65</v>
      </c>
      <c r="X25" s="28">
        <f t="shared" si="5"/>
        <v>204.00000000000003</v>
      </c>
      <c r="Y25" s="28">
        <f t="shared" si="5"/>
        <v>297.5</v>
      </c>
      <c r="Z25" s="28">
        <f t="shared" si="5"/>
        <v>297.5</v>
      </c>
      <c r="AA25" s="28">
        <f t="shared" si="5"/>
        <v>297.5</v>
      </c>
      <c r="AB25" s="175">
        <f t="shared" si="5"/>
        <v>297.5</v>
      </c>
      <c r="AC25" s="28">
        <f t="shared" si="5"/>
        <v>204.00000000000003</v>
      </c>
      <c r="AD25" s="29"/>
      <c r="AE25" s="29"/>
      <c r="AF25" s="29"/>
      <c r="AG25" s="29"/>
      <c r="AH25" s="29"/>
    </row>
    <row r="26" spans="1:34" s="30" customFormat="1" x14ac:dyDescent="0.2">
      <c r="A26" s="31" t="s">
        <v>110</v>
      </c>
      <c r="B26" s="32">
        <f t="shared" ref="B26:AB26" si="6">-IF(ISBLANK(B117),0,MIN(B$22*$H$10,B$22-$B$7*$H$9))</f>
        <v>-46.75</v>
      </c>
      <c r="C26" s="32">
        <f t="shared" si="6"/>
        <v>-46.75</v>
      </c>
      <c r="D26" s="32">
        <f t="shared" si="6"/>
        <v>-46.75</v>
      </c>
      <c r="E26" s="32">
        <f t="shared" si="6"/>
        <v>0</v>
      </c>
      <c r="F26" s="32">
        <f t="shared" si="6"/>
        <v>-46.75</v>
      </c>
      <c r="G26" s="32">
        <f t="shared" si="6"/>
        <v>-46.75</v>
      </c>
      <c r="H26" s="32">
        <f t="shared" si="6"/>
        <v>-67.881</v>
      </c>
      <c r="I26" s="32">
        <f t="shared" si="6"/>
        <v>-74.052000000000007</v>
      </c>
      <c r="J26" s="32">
        <f t="shared" si="6"/>
        <v>0</v>
      </c>
      <c r="K26" s="32">
        <f t="shared" si="6"/>
        <v>0</v>
      </c>
      <c r="L26" s="32">
        <f t="shared" si="6"/>
        <v>0</v>
      </c>
      <c r="M26" s="32">
        <f t="shared" si="6"/>
        <v>0</v>
      </c>
      <c r="N26" s="32">
        <f t="shared" si="6"/>
        <v>-86.394000000000005</v>
      </c>
      <c r="O26" s="32">
        <f t="shared" si="6"/>
        <v>-86.394000000000005</v>
      </c>
      <c r="P26" s="32">
        <f t="shared" si="6"/>
        <v>0</v>
      </c>
      <c r="Q26" s="32">
        <f t="shared" si="6"/>
        <v>0</v>
      </c>
      <c r="R26" s="32">
        <f t="shared" si="6"/>
        <v>0</v>
      </c>
      <c r="S26" s="32">
        <f t="shared" si="6"/>
        <v>0</v>
      </c>
      <c r="T26" s="32">
        <f t="shared" si="6"/>
        <v>0</v>
      </c>
      <c r="U26" s="32">
        <f t="shared" si="6"/>
        <v>0</v>
      </c>
      <c r="V26" s="32">
        <f t="shared" si="6"/>
        <v>0</v>
      </c>
      <c r="W26" s="32">
        <f t="shared" si="6"/>
        <v>0</v>
      </c>
      <c r="X26" s="32">
        <f t="shared" si="6"/>
        <v>0</v>
      </c>
      <c r="Y26" s="32">
        <f t="shared" si="6"/>
        <v>-74.052000000000007</v>
      </c>
      <c r="Z26" s="32">
        <f t="shared" si="6"/>
        <v>-74.052000000000007</v>
      </c>
      <c r="AA26" s="32">
        <f t="shared" si="6"/>
        <v>-74.052000000000007</v>
      </c>
      <c r="AB26" s="172">
        <f t="shared" si="6"/>
        <v>-74.052000000000007</v>
      </c>
      <c r="AC26" s="28">
        <f>-IF(ISBLANK(AC105),0,MIN(AC$22*$H$10,AC$22-$B$7*$H$9))</f>
        <v>0</v>
      </c>
      <c r="AD26" s="29"/>
      <c r="AE26" s="29"/>
      <c r="AF26" s="29"/>
      <c r="AG26" s="29"/>
      <c r="AH26" s="29"/>
    </row>
    <row r="27" spans="1:34" s="30" customFormat="1" x14ac:dyDescent="0.2">
      <c r="A27" s="24" t="s">
        <v>111</v>
      </c>
      <c r="B27" s="32">
        <f t="shared" ref="B27:AB27" si="7">SUM(B25:B26)</f>
        <v>204</v>
      </c>
      <c r="C27" s="32">
        <f t="shared" si="7"/>
        <v>204</v>
      </c>
      <c r="D27" s="32">
        <f t="shared" si="7"/>
        <v>204</v>
      </c>
      <c r="E27" s="32">
        <f t="shared" si="7"/>
        <v>250.75</v>
      </c>
      <c r="F27" s="32">
        <f t="shared" si="7"/>
        <v>204</v>
      </c>
      <c r="G27" s="32">
        <f t="shared" si="7"/>
        <v>204</v>
      </c>
      <c r="H27" s="32">
        <f t="shared" si="7"/>
        <v>206.244</v>
      </c>
      <c r="I27" s="32">
        <f t="shared" si="7"/>
        <v>223.44799999999998</v>
      </c>
      <c r="J27" s="32">
        <f t="shared" si="7"/>
        <v>426.27499999999998</v>
      </c>
      <c r="K27" s="32">
        <f t="shared" si="7"/>
        <v>344.25</v>
      </c>
      <c r="L27" s="32">
        <f t="shared" si="7"/>
        <v>449.65</v>
      </c>
      <c r="M27" s="32">
        <f t="shared" si="7"/>
        <v>449.65</v>
      </c>
      <c r="N27" s="32">
        <f t="shared" si="7"/>
        <v>257.85599999999999</v>
      </c>
      <c r="O27" s="32">
        <f t="shared" si="7"/>
        <v>257.85599999999999</v>
      </c>
      <c r="P27" s="32">
        <f t="shared" si="7"/>
        <v>449.65</v>
      </c>
      <c r="Q27" s="32">
        <f t="shared" si="7"/>
        <v>204.00000000000003</v>
      </c>
      <c r="R27" s="32">
        <f t="shared" si="7"/>
        <v>496.40000000000009</v>
      </c>
      <c r="S27" s="32">
        <f t="shared" si="7"/>
        <v>496.40000000000009</v>
      </c>
      <c r="T27" s="32">
        <f t="shared" si="7"/>
        <v>496.40000000000009</v>
      </c>
      <c r="U27" s="32">
        <f t="shared" si="7"/>
        <v>496.40000000000009</v>
      </c>
      <c r="V27" s="32">
        <f t="shared" si="7"/>
        <v>496.40000000000009</v>
      </c>
      <c r="W27" s="32">
        <f t="shared" si="7"/>
        <v>449.65</v>
      </c>
      <c r="X27" s="32">
        <f t="shared" si="7"/>
        <v>204.00000000000003</v>
      </c>
      <c r="Y27" s="32">
        <f t="shared" si="7"/>
        <v>223.44799999999998</v>
      </c>
      <c r="Z27" s="32">
        <f t="shared" si="7"/>
        <v>223.44799999999998</v>
      </c>
      <c r="AA27" s="32">
        <f t="shared" si="7"/>
        <v>223.44799999999998</v>
      </c>
      <c r="AB27" s="172">
        <f t="shared" si="7"/>
        <v>223.44799999999998</v>
      </c>
      <c r="AC27" s="28">
        <f>SUM(AC25:AC26)</f>
        <v>204.00000000000003</v>
      </c>
      <c r="AD27" s="29"/>
      <c r="AE27" s="29"/>
      <c r="AF27" s="29"/>
      <c r="AG27" s="29"/>
      <c r="AH27" s="29"/>
    </row>
    <row r="28" spans="1:34" s="30" customFormat="1" x14ac:dyDescent="0.2">
      <c r="A28" s="31" t="s">
        <v>112</v>
      </c>
      <c r="B28" s="32">
        <f>AVERAGE(AA22:AB22,B22)</f>
        <v>264.91666666666669</v>
      </c>
      <c r="C28" s="32">
        <f>AVERAGE(AB22,B22:C22)</f>
        <v>249.33333333333334</v>
      </c>
      <c r="D28" s="32">
        <f t="shared" ref="D28:AB28" si="8">AVERAGE(B22:D22)</f>
        <v>233.75</v>
      </c>
      <c r="E28" s="32">
        <f t="shared" si="8"/>
        <v>233.75</v>
      </c>
      <c r="F28" s="32">
        <f t="shared" si="8"/>
        <v>233.75</v>
      </c>
      <c r="G28" s="32">
        <f t="shared" si="8"/>
        <v>233.75</v>
      </c>
      <c r="H28" s="32">
        <f t="shared" si="8"/>
        <v>241.54166666666666</v>
      </c>
      <c r="I28" s="32">
        <f t="shared" si="8"/>
        <v>257.125</v>
      </c>
      <c r="J28" s="32">
        <f t="shared" si="8"/>
        <v>280.5</v>
      </c>
      <c r="K28" s="32">
        <f t="shared" si="8"/>
        <v>303.875</v>
      </c>
      <c r="L28" s="32">
        <f t="shared" si="8"/>
        <v>319.45833333333331</v>
      </c>
      <c r="M28" s="32">
        <f t="shared" si="8"/>
        <v>327.25</v>
      </c>
      <c r="N28" s="32">
        <f t="shared" si="8"/>
        <v>327.25</v>
      </c>
      <c r="O28" s="32">
        <f t="shared" si="8"/>
        <v>327.25</v>
      </c>
      <c r="P28" s="32">
        <f t="shared" si="8"/>
        <v>327.25</v>
      </c>
      <c r="Q28" s="32">
        <f t="shared" si="8"/>
        <v>280.5</v>
      </c>
      <c r="R28" s="32">
        <f t="shared" si="8"/>
        <v>296.08333333333331</v>
      </c>
      <c r="S28" s="32">
        <f t="shared" si="8"/>
        <v>311.66666666666674</v>
      </c>
      <c r="T28" s="32">
        <f t="shared" si="8"/>
        <v>374.00000000000006</v>
      </c>
      <c r="U28" s="32">
        <f t="shared" si="8"/>
        <v>374.00000000000006</v>
      </c>
      <c r="V28" s="32">
        <f t="shared" si="8"/>
        <v>374.00000000000006</v>
      </c>
      <c r="W28" s="32">
        <f t="shared" si="8"/>
        <v>358.41666666666669</v>
      </c>
      <c r="X28" s="32">
        <f t="shared" si="8"/>
        <v>296.08333333333331</v>
      </c>
      <c r="Y28" s="32">
        <f t="shared" si="8"/>
        <v>264.91666666666669</v>
      </c>
      <c r="Z28" s="32">
        <f t="shared" si="8"/>
        <v>249.33333333333334</v>
      </c>
      <c r="AA28" s="32">
        <f t="shared" si="8"/>
        <v>280.5</v>
      </c>
      <c r="AB28" s="172">
        <f t="shared" si="8"/>
        <v>280.5</v>
      </c>
      <c r="AC28" s="28">
        <f>SUM(AC25:AC26)</f>
        <v>204.00000000000003</v>
      </c>
      <c r="AD28" s="14"/>
      <c r="AE28" s="14"/>
      <c r="AF28" s="14"/>
      <c r="AG28" s="14"/>
      <c r="AH28" s="14"/>
    </row>
    <row r="29" spans="1:34" s="30" customFormat="1" x14ac:dyDescent="0.2">
      <c r="A29" s="174" t="s">
        <v>113</v>
      </c>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28"/>
      <c r="AD29" s="14"/>
      <c r="AE29" s="14"/>
      <c r="AF29" s="14"/>
      <c r="AG29" s="14"/>
      <c r="AH29" s="14"/>
    </row>
    <row r="30" spans="1:34" s="30" customFormat="1" x14ac:dyDescent="0.2">
      <c r="A30" s="31" t="s">
        <v>114</v>
      </c>
      <c r="B30" s="32">
        <f t="shared" ref="B30:AC30" si="9">IF(ISBLANK(B117),0,$B$11)</f>
        <v>34</v>
      </c>
      <c r="C30" s="32">
        <f t="shared" si="9"/>
        <v>34</v>
      </c>
      <c r="D30" s="32">
        <f t="shared" si="9"/>
        <v>34</v>
      </c>
      <c r="E30" s="32">
        <f t="shared" si="9"/>
        <v>0</v>
      </c>
      <c r="F30" s="32">
        <f t="shared" si="9"/>
        <v>34</v>
      </c>
      <c r="G30" s="32">
        <f t="shared" si="9"/>
        <v>34</v>
      </c>
      <c r="H30" s="32">
        <f t="shared" si="9"/>
        <v>34</v>
      </c>
      <c r="I30" s="32">
        <f t="shared" si="9"/>
        <v>34</v>
      </c>
      <c r="J30" s="32">
        <f t="shared" si="9"/>
        <v>0</v>
      </c>
      <c r="K30" s="32">
        <f t="shared" si="9"/>
        <v>0</v>
      </c>
      <c r="L30" s="32">
        <f t="shared" si="9"/>
        <v>0</v>
      </c>
      <c r="M30" s="32">
        <f t="shared" si="9"/>
        <v>0</v>
      </c>
      <c r="N30" s="32">
        <f t="shared" si="9"/>
        <v>34</v>
      </c>
      <c r="O30" s="32">
        <f t="shared" si="9"/>
        <v>34</v>
      </c>
      <c r="P30" s="32">
        <f t="shared" si="9"/>
        <v>0</v>
      </c>
      <c r="Q30" s="32">
        <f t="shared" si="9"/>
        <v>0</v>
      </c>
      <c r="R30" s="32">
        <f t="shared" si="9"/>
        <v>0</v>
      </c>
      <c r="S30" s="32">
        <f t="shared" si="9"/>
        <v>0</v>
      </c>
      <c r="T30" s="32">
        <f t="shared" si="9"/>
        <v>0</v>
      </c>
      <c r="U30" s="32">
        <f t="shared" si="9"/>
        <v>0</v>
      </c>
      <c r="V30" s="32">
        <f t="shared" si="9"/>
        <v>0</v>
      </c>
      <c r="W30" s="32">
        <f t="shared" si="9"/>
        <v>0</v>
      </c>
      <c r="X30" s="32">
        <f t="shared" si="9"/>
        <v>0</v>
      </c>
      <c r="Y30" s="32">
        <f t="shared" si="9"/>
        <v>34</v>
      </c>
      <c r="Z30" s="32">
        <f t="shared" si="9"/>
        <v>34</v>
      </c>
      <c r="AA30" s="32">
        <f t="shared" si="9"/>
        <v>34</v>
      </c>
      <c r="AB30" s="172">
        <f t="shared" si="9"/>
        <v>34</v>
      </c>
      <c r="AC30" s="28">
        <f t="shared" si="9"/>
        <v>34</v>
      </c>
      <c r="AD30" s="14"/>
      <c r="AE30" s="14"/>
      <c r="AF30" s="14"/>
      <c r="AG30" s="14"/>
      <c r="AH30" s="14"/>
    </row>
    <row r="31" spans="1:34" s="30" customFormat="1" ht="12.75" x14ac:dyDescent="0.2">
      <c r="A31" s="33" t="s">
        <v>115</v>
      </c>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4"/>
      <c r="AD31" s="14"/>
      <c r="AE31" s="14"/>
      <c r="AF31" s="14"/>
      <c r="AG31" s="14"/>
      <c r="AH31" s="14"/>
    </row>
    <row r="32" spans="1:34" s="30" customFormat="1" x14ac:dyDescent="0.2">
      <c r="A32" s="8" t="s">
        <v>116</v>
      </c>
      <c r="B32" s="20">
        <v>0.7</v>
      </c>
      <c r="C32" s="20">
        <v>0.7</v>
      </c>
      <c r="D32" s="20">
        <v>0.7</v>
      </c>
      <c r="E32" s="20">
        <v>0.7</v>
      </c>
      <c r="F32" s="20">
        <v>0.7</v>
      </c>
      <c r="G32" s="20">
        <v>0.7</v>
      </c>
      <c r="H32" s="20">
        <v>0.8</v>
      </c>
      <c r="I32" s="20">
        <v>0.8</v>
      </c>
      <c r="J32" s="20">
        <v>0.8</v>
      </c>
      <c r="K32" s="20">
        <v>0.9</v>
      </c>
      <c r="L32" s="20">
        <v>0.9</v>
      </c>
      <c r="M32" s="20">
        <v>0.9</v>
      </c>
      <c r="N32" s="20">
        <v>1</v>
      </c>
      <c r="O32" s="20">
        <v>1</v>
      </c>
      <c r="P32" s="20">
        <v>1</v>
      </c>
      <c r="Q32" s="20">
        <v>1</v>
      </c>
      <c r="R32" s="20">
        <v>1</v>
      </c>
      <c r="S32" s="20">
        <v>1</v>
      </c>
      <c r="T32" s="20">
        <v>1</v>
      </c>
      <c r="U32" s="20">
        <v>1</v>
      </c>
      <c r="V32" s="20">
        <v>1</v>
      </c>
      <c r="W32" s="20">
        <v>1</v>
      </c>
      <c r="X32" s="20">
        <v>1</v>
      </c>
      <c r="Y32" s="20">
        <v>1</v>
      </c>
      <c r="Z32" s="20">
        <v>1</v>
      </c>
      <c r="AA32" s="20">
        <v>1</v>
      </c>
      <c r="AB32" s="182">
        <v>1</v>
      </c>
      <c r="AC32" s="20">
        <v>0.7</v>
      </c>
      <c r="AD32" s="26"/>
      <c r="AE32" s="26"/>
      <c r="AF32" s="26"/>
      <c r="AG32" s="26"/>
      <c r="AH32" s="26"/>
    </row>
    <row r="33" spans="1:34" s="30" customFormat="1" x14ac:dyDescent="0.2">
      <c r="A33" s="8" t="s">
        <v>117</v>
      </c>
      <c r="B33" s="289">
        <f t="shared" ref="B33:AC33" si="10">B32*0.8</f>
        <v>0.55999999999999994</v>
      </c>
      <c r="C33" s="289">
        <f t="shared" si="10"/>
        <v>0.55999999999999994</v>
      </c>
      <c r="D33" s="289">
        <f t="shared" si="10"/>
        <v>0.55999999999999994</v>
      </c>
      <c r="E33" s="289">
        <f t="shared" si="10"/>
        <v>0.55999999999999994</v>
      </c>
      <c r="F33" s="289">
        <f t="shared" si="10"/>
        <v>0.55999999999999994</v>
      </c>
      <c r="G33" s="289">
        <f t="shared" si="10"/>
        <v>0.55999999999999994</v>
      </c>
      <c r="H33" s="289">
        <f t="shared" si="10"/>
        <v>0.64000000000000012</v>
      </c>
      <c r="I33" s="289">
        <f t="shared" si="10"/>
        <v>0.64000000000000012</v>
      </c>
      <c r="J33" s="289">
        <f t="shared" si="10"/>
        <v>0.64000000000000012</v>
      </c>
      <c r="K33" s="289">
        <f t="shared" si="10"/>
        <v>0.72000000000000008</v>
      </c>
      <c r="L33" s="289">
        <f t="shared" si="10"/>
        <v>0.72000000000000008</v>
      </c>
      <c r="M33" s="289">
        <f t="shared" si="10"/>
        <v>0.72000000000000008</v>
      </c>
      <c r="N33" s="289">
        <f t="shared" si="10"/>
        <v>0.8</v>
      </c>
      <c r="O33" s="289">
        <f t="shared" si="10"/>
        <v>0.8</v>
      </c>
      <c r="P33" s="289">
        <f t="shared" si="10"/>
        <v>0.8</v>
      </c>
      <c r="Q33" s="289">
        <f t="shared" si="10"/>
        <v>0.8</v>
      </c>
      <c r="R33" s="289">
        <f t="shared" si="10"/>
        <v>0.8</v>
      </c>
      <c r="S33" s="289">
        <f t="shared" si="10"/>
        <v>0.8</v>
      </c>
      <c r="T33" s="289">
        <f t="shared" si="10"/>
        <v>0.8</v>
      </c>
      <c r="U33" s="289">
        <f t="shared" si="10"/>
        <v>0.8</v>
      </c>
      <c r="V33" s="289">
        <f t="shared" si="10"/>
        <v>0.8</v>
      </c>
      <c r="W33" s="289">
        <f t="shared" si="10"/>
        <v>0.8</v>
      </c>
      <c r="X33" s="289">
        <f t="shared" si="10"/>
        <v>0.8</v>
      </c>
      <c r="Y33" s="289">
        <f t="shared" si="10"/>
        <v>0.8</v>
      </c>
      <c r="Z33" s="289">
        <f t="shared" si="10"/>
        <v>0.8</v>
      </c>
      <c r="AA33" s="289">
        <f t="shared" si="10"/>
        <v>0.8</v>
      </c>
      <c r="AB33" s="344">
        <f t="shared" si="10"/>
        <v>0.8</v>
      </c>
      <c r="AC33" s="289">
        <f t="shared" si="10"/>
        <v>0.55999999999999994</v>
      </c>
      <c r="AD33" s="26"/>
      <c r="AE33" s="26"/>
      <c r="AF33" s="26"/>
      <c r="AG33" s="26"/>
      <c r="AH33" s="26"/>
    </row>
    <row r="34" spans="1:34" s="30" customFormat="1" x14ac:dyDescent="0.2">
      <c r="A34" s="8" t="s">
        <v>118</v>
      </c>
      <c r="B34" s="36">
        <f>((B36*$B$143)/$B$2)</f>
        <v>0.45582916249582911</v>
      </c>
      <c r="C34" s="36">
        <f t="shared" ref="C34:AC34" si="11">((C36*$B$143)/$B$2)</f>
        <v>0.45582916249582911</v>
      </c>
      <c r="D34" s="36">
        <f t="shared" si="11"/>
        <v>0.45582916249582911</v>
      </c>
      <c r="E34" s="36">
        <f t="shared" si="11"/>
        <v>0.45582916249582911</v>
      </c>
      <c r="F34" s="36">
        <f t="shared" si="11"/>
        <v>0.45582916249582911</v>
      </c>
      <c r="G34" s="36">
        <f t="shared" si="11"/>
        <v>0.45582916249582911</v>
      </c>
      <c r="H34" s="36">
        <f t="shared" si="11"/>
        <v>0.5209476142809476</v>
      </c>
      <c r="I34" s="36">
        <f t="shared" si="11"/>
        <v>0.5209476142809476</v>
      </c>
      <c r="J34" s="36">
        <f t="shared" si="11"/>
        <v>0.5209476142809476</v>
      </c>
      <c r="K34" s="36">
        <f t="shared" si="11"/>
        <v>0.58606606606606604</v>
      </c>
      <c r="L34" s="36">
        <f t="shared" si="11"/>
        <v>0.58606606606606604</v>
      </c>
      <c r="M34" s="36">
        <f t="shared" si="11"/>
        <v>0.58606606606606604</v>
      </c>
      <c r="N34" s="36">
        <f t="shared" si="11"/>
        <v>0.65118451785118447</v>
      </c>
      <c r="O34" s="36">
        <f t="shared" si="11"/>
        <v>0.65118451785118447</v>
      </c>
      <c r="P34" s="36">
        <f t="shared" si="11"/>
        <v>0.65118451785118447</v>
      </c>
      <c r="Q34" s="36">
        <f t="shared" si="11"/>
        <v>0.65118451785118447</v>
      </c>
      <c r="R34" s="36">
        <f t="shared" si="11"/>
        <v>0.65118451785118447</v>
      </c>
      <c r="S34" s="36">
        <f t="shared" si="11"/>
        <v>0.65118451785118447</v>
      </c>
      <c r="T34" s="36">
        <f t="shared" si="11"/>
        <v>0.65118451785118447</v>
      </c>
      <c r="U34" s="36">
        <f t="shared" si="11"/>
        <v>0.65118451785118447</v>
      </c>
      <c r="V34" s="36">
        <f t="shared" si="11"/>
        <v>0.65118451785118447</v>
      </c>
      <c r="W34" s="36">
        <f t="shared" si="11"/>
        <v>0.65118451785118447</v>
      </c>
      <c r="X34" s="36">
        <f t="shared" si="11"/>
        <v>0.65118451785118447</v>
      </c>
      <c r="Y34" s="36">
        <f t="shared" si="11"/>
        <v>0.65118451785118447</v>
      </c>
      <c r="Z34" s="36">
        <f t="shared" si="11"/>
        <v>0.65118451785118447</v>
      </c>
      <c r="AA34" s="36">
        <f t="shared" si="11"/>
        <v>0.65118451785118447</v>
      </c>
      <c r="AB34" s="36">
        <f t="shared" si="11"/>
        <v>0.65118451785118447</v>
      </c>
      <c r="AC34" s="36">
        <f t="shared" si="11"/>
        <v>0.45582916249582911</v>
      </c>
      <c r="AD34" s="26"/>
      <c r="AE34" s="26"/>
      <c r="AF34" s="26"/>
      <c r="AG34" s="26"/>
      <c r="AH34" s="26"/>
    </row>
    <row r="35" spans="1:34" s="30" customFormat="1" x14ac:dyDescent="0.2">
      <c r="A35" s="24" t="s">
        <v>119</v>
      </c>
      <c r="B35" s="132">
        <f t="shared" ref="B35:AC35" si="12">ROUND($B$2*B$32,2)</f>
        <v>8.4</v>
      </c>
      <c r="C35" s="132">
        <f t="shared" si="12"/>
        <v>8.4</v>
      </c>
      <c r="D35" s="132">
        <f t="shared" si="12"/>
        <v>8.4</v>
      </c>
      <c r="E35" s="132">
        <f t="shared" si="12"/>
        <v>8.4</v>
      </c>
      <c r="F35" s="132">
        <f t="shared" si="12"/>
        <v>8.4</v>
      </c>
      <c r="G35" s="132">
        <f t="shared" si="12"/>
        <v>8.4</v>
      </c>
      <c r="H35" s="132">
        <f t="shared" si="12"/>
        <v>9.6</v>
      </c>
      <c r="I35" s="132">
        <f t="shared" si="12"/>
        <v>9.6</v>
      </c>
      <c r="J35" s="132">
        <f t="shared" si="12"/>
        <v>9.6</v>
      </c>
      <c r="K35" s="132">
        <f t="shared" si="12"/>
        <v>10.8</v>
      </c>
      <c r="L35" s="132">
        <f t="shared" si="12"/>
        <v>10.8</v>
      </c>
      <c r="M35" s="132">
        <f t="shared" si="12"/>
        <v>10.8</v>
      </c>
      <c r="N35" s="132">
        <f t="shared" si="12"/>
        <v>12</v>
      </c>
      <c r="O35" s="132">
        <f t="shared" si="12"/>
        <v>12</v>
      </c>
      <c r="P35" s="132">
        <f t="shared" si="12"/>
        <v>12</v>
      </c>
      <c r="Q35" s="132">
        <f t="shared" si="12"/>
        <v>12</v>
      </c>
      <c r="R35" s="132">
        <f t="shared" si="12"/>
        <v>12</v>
      </c>
      <c r="S35" s="132">
        <f t="shared" si="12"/>
        <v>12</v>
      </c>
      <c r="T35" s="132">
        <f t="shared" si="12"/>
        <v>12</v>
      </c>
      <c r="U35" s="132">
        <f t="shared" si="12"/>
        <v>12</v>
      </c>
      <c r="V35" s="132">
        <f t="shared" si="12"/>
        <v>12</v>
      </c>
      <c r="W35" s="132">
        <f t="shared" si="12"/>
        <v>12</v>
      </c>
      <c r="X35" s="132">
        <f t="shared" si="12"/>
        <v>12</v>
      </c>
      <c r="Y35" s="132">
        <f t="shared" si="12"/>
        <v>12</v>
      </c>
      <c r="Z35" s="132">
        <f t="shared" si="12"/>
        <v>12</v>
      </c>
      <c r="AA35" s="132">
        <f t="shared" si="12"/>
        <v>12</v>
      </c>
      <c r="AB35" s="192">
        <f t="shared" si="12"/>
        <v>12</v>
      </c>
      <c r="AC35" s="132">
        <f t="shared" si="12"/>
        <v>8.4</v>
      </c>
      <c r="AD35" s="26"/>
      <c r="AE35" s="26"/>
      <c r="AF35" s="26"/>
      <c r="AG35" s="26"/>
      <c r="AH35" s="26"/>
    </row>
    <row r="36" spans="1:34" x14ac:dyDescent="0.2">
      <c r="A36" s="24" t="s">
        <v>120</v>
      </c>
      <c r="B36" s="132">
        <f t="shared" ref="B36:AC36" si="13">ROUND($B$2*B$33,2)</f>
        <v>6.72</v>
      </c>
      <c r="C36" s="132">
        <f t="shared" si="13"/>
        <v>6.72</v>
      </c>
      <c r="D36" s="132">
        <f t="shared" si="13"/>
        <v>6.72</v>
      </c>
      <c r="E36" s="132">
        <f t="shared" si="13"/>
        <v>6.72</v>
      </c>
      <c r="F36" s="132">
        <f t="shared" si="13"/>
        <v>6.72</v>
      </c>
      <c r="G36" s="132">
        <f t="shared" si="13"/>
        <v>6.72</v>
      </c>
      <c r="H36" s="132">
        <f t="shared" si="13"/>
        <v>7.68</v>
      </c>
      <c r="I36" s="132">
        <f t="shared" si="13"/>
        <v>7.68</v>
      </c>
      <c r="J36" s="132">
        <f t="shared" si="13"/>
        <v>7.68</v>
      </c>
      <c r="K36" s="132">
        <f t="shared" si="13"/>
        <v>8.64</v>
      </c>
      <c r="L36" s="132">
        <f t="shared" si="13"/>
        <v>8.64</v>
      </c>
      <c r="M36" s="132">
        <f t="shared" si="13"/>
        <v>8.64</v>
      </c>
      <c r="N36" s="132">
        <f t="shared" si="13"/>
        <v>9.6</v>
      </c>
      <c r="O36" s="132">
        <f t="shared" si="13"/>
        <v>9.6</v>
      </c>
      <c r="P36" s="132">
        <f t="shared" si="13"/>
        <v>9.6</v>
      </c>
      <c r="Q36" s="132">
        <f t="shared" si="13"/>
        <v>9.6</v>
      </c>
      <c r="R36" s="132">
        <f t="shared" si="13"/>
        <v>9.6</v>
      </c>
      <c r="S36" s="132">
        <f t="shared" si="13"/>
        <v>9.6</v>
      </c>
      <c r="T36" s="132">
        <f t="shared" si="13"/>
        <v>9.6</v>
      </c>
      <c r="U36" s="132">
        <f t="shared" si="13"/>
        <v>9.6</v>
      </c>
      <c r="V36" s="132">
        <f t="shared" si="13"/>
        <v>9.6</v>
      </c>
      <c r="W36" s="132">
        <f t="shared" si="13"/>
        <v>9.6</v>
      </c>
      <c r="X36" s="132">
        <f t="shared" si="13"/>
        <v>9.6</v>
      </c>
      <c r="Y36" s="132">
        <f t="shared" si="13"/>
        <v>9.6</v>
      </c>
      <c r="Z36" s="132">
        <f t="shared" si="13"/>
        <v>9.6</v>
      </c>
      <c r="AA36" s="132">
        <f t="shared" si="13"/>
        <v>9.6</v>
      </c>
      <c r="AB36" s="192">
        <f t="shared" si="13"/>
        <v>9.6</v>
      </c>
      <c r="AC36" s="132">
        <f t="shared" si="13"/>
        <v>6.72</v>
      </c>
      <c r="AD36" s="14"/>
      <c r="AE36" s="14"/>
      <c r="AF36" s="14"/>
      <c r="AG36" s="14"/>
      <c r="AH36" s="14"/>
    </row>
    <row r="37" spans="1:34" x14ac:dyDescent="0.2">
      <c r="A37" s="202" t="s">
        <v>121</v>
      </c>
      <c r="B37" s="360">
        <f>B34*$B$2</f>
        <v>5.4699499499499495</v>
      </c>
      <c r="C37" s="360">
        <f t="shared" ref="C37:AC37" si="14">C34*$B$2</f>
        <v>5.4699499499499495</v>
      </c>
      <c r="D37" s="360">
        <f t="shared" si="14"/>
        <v>5.4699499499499495</v>
      </c>
      <c r="E37" s="360">
        <f t="shared" si="14"/>
        <v>5.4699499499499495</v>
      </c>
      <c r="F37" s="360">
        <f t="shared" si="14"/>
        <v>5.4699499499499495</v>
      </c>
      <c r="G37" s="360">
        <f t="shared" si="14"/>
        <v>5.4699499499499495</v>
      </c>
      <c r="H37" s="360">
        <f t="shared" si="14"/>
        <v>6.2513713713713717</v>
      </c>
      <c r="I37" s="360">
        <f t="shared" si="14"/>
        <v>6.2513713713713717</v>
      </c>
      <c r="J37" s="360">
        <f t="shared" si="14"/>
        <v>6.2513713713713717</v>
      </c>
      <c r="K37" s="360">
        <f t="shared" si="14"/>
        <v>7.032792792792792</v>
      </c>
      <c r="L37" s="360">
        <f t="shared" si="14"/>
        <v>7.032792792792792</v>
      </c>
      <c r="M37" s="360">
        <f t="shared" si="14"/>
        <v>7.032792792792792</v>
      </c>
      <c r="N37" s="360">
        <f t="shared" si="14"/>
        <v>7.8142142142142141</v>
      </c>
      <c r="O37" s="360">
        <f t="shared" si="14"/>
        <v>7.8142142142142141</v>
      </c>
      <c r="P37" s="360">
        <f t="shared" si="14"/>
        <v>7.8142142142142141</v>
      </c>
      <c r="Q37" s="360">
        <f t="shared" si="14"/>
        <v>7.8142142142142141</v>
      </c>
      <c r="R37" s="360">
        <f t="shared" si="14"/>
        <v>7.8142142142142141</v>
      </c>
      <c r="S37" s="360">
        <f t="shared" si="14"/>
        <v>7.8142142142142141</v>
      </c>
      <c r="T37" s="360">
        <f t="shared" si="14"/>
        <v>7.8142142142142141</v>
      </c>
      <c r="U37" s="360">
        <f t="shared" si="14"/>
        <v>7.8142142142142141</v>
      </c>
      <c r="V37" s="360">
        <f t="shared" si="14"/>
        <v>7.8142142142142141</v>
      </c>
      <c r="W37" s="360">
        <f t="shared" si="14"/>
        <v>7.8142142142142141</v>
      </c>
      <c r="X37" s="360">
        <f t="shared" si="14"/>
        <v>7.8142142142142141</v>
      </c>
      <c r="Y37" s="360">
        <f t="shared" si="14"/>
        <v>7.8142142142142141</v>
      </c>
      <c r="Z37" s="360">
        <f t="shared" si="14"/>
        <v>7.8142142142142141</v>
      </c>
      <c r="AA37" s="360">
        <f t="shared" si="14"/>
        <v>7.8142142142142141</v>
      </c>
      <c r="AB37" s="360">
        <f t="shared" si="14"/>
        <v>7.8142142142142141</v>
      </c>
      <c r="AC37" s="360">
        <f t="shared" si="14"/>
        <v>5.4699499499499495</v>
      </c>
      <c r="AD37" s="14"/>
      <c r="AE37" s="14"/>
      <c r="AF37" s="14"/>
      <c r="AG37" s="14"/>
      <c r="AH37" s="14"/>
    </row>
    <row r="38" spans="1:34" s="225" customFormat="1" ht="12.75" x14ac:dyDescent="0.2">
      <c r="A38" s="222" t="s">
        <v>122</v>
      </c>
      <c r="B38" s="345"/>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2"/>
      <c r="AD38" s="224"/>
      <c r="AE38" s="224"/>
    </row>
    <row r="39" spans="1:34" s="225" customFormat="1" ht="12.75" x14ac:dyDescent="0.2">
      <c r="A39" s="240" t="s">
        <v>123</v>
      </c>
      <c r="B39" s="323">
        <f t="shared" ref="B39:AC39" si="15">IF($B144&gt;=0.9, B$36,B$36*$B144)</f>
        <v>4.6870870870870869</v>
      </c>
      <c r="C39" s="323">
        <f t="shared" si="15"/>
        <v>4.6870870870870869</v>
      </c>
      <c r="D39" s="323">
        <f t="shared" si="15"/>
        <v>4.6870870870870869</v>
      </c>
      <c r="E39" s="323">
        <f t="shared" si="15"/>
        <v>4.6870870870870869</v>
      </c>
      <c r="F39" s="323">
        <f t="shared" si="15"/>
        <v>4.6870870870870869</v>
      </c>
      <c r="G39" s="323">
        <f t="shared" si="15"/>
        <v>4.6870870870870869</v>
      </c>
      <c r="H39" s="323">
        <f t="shared" si="15"/>
        <v>5.3566709566709561</v>
      </c>
      <c r="I39" s="323">
        <f t="shared" si="15"/>
        <v>5.3566709566709561</v>
      </c>
      <c r="J39" s="323">
        <f t="shared" si="15"/>
        <v>5.3566709566709561</v>
      </c>
      <c r="K39" s="323">
        <f t="shared" si="15"/>
        <v>6.0262548262548261</v>
      </c>
      <c r="L39" s="323">
        <f t="shared" si="15"/>
        <v>6.0262548262548261</v>
      </c>
      <c r="M39" s="323">
        <f t="shared" si="15"/>
        <v>6.0262548262548261</v>
      </c>
      <c r="N39" s="323">
        <f t="shared" si="15"/>
        <v>6.6958386958386953</v>
      </c>
      <c r="O39" s="323">
        <f t="shared" si="15"/>
        <v>6.6958386958386953</v>
      </c>
      <c r="P39" s="323">
        <f t="shared" si="15"/>
        <v>6.6958386958386953</v>
      </c>
      <c r="Q39" s="323">
        <f t="shared" si="15"/>
        <v>6.6958386958386953</v>
      </c>
      <c r="R39" s="323">
        <f t="shared" si="15"/>
        <v>6.6958386958386953</v>
      </c>
      <c r="S39" s="323">
        <f t="shared" si="15"/>
        <v>6.6958386958386953</v>
      </c>
      <c r="T39" s="323">
        <f t="shared" si="15"/>
        <v>6.6958386958386953</v>
      </c>
      <c r="U39" s="323">
        <f t="shared" si="15"/>
        <v>6.6958386958386953</v>
      </c>
      <c r="V39" s="323">
        <f t="shared" si="15"/>
        <v>6.6958386958386953</v>
      </c>
      <c r="W39" s="323">
        <f t="shared" si="15"/>
        <v>6.6958386958386953</v>
      </c>
      <c r="X39" s="323">
        <f t="shared" si="15"/>
        <v>6.6958386958386953</v>
      </c>
      <c r="Y39" s="323">
        <f t="shared" si="15"/>
        <v>6.6958386958386953</v>
      </c>
      <c r="Z39" s="323">
        <f t="shared" si="15"/>
        <v>6.6958386958386953</v>
      </c>
      <c r="AA39" s="323">
        <f t="shared" si="15"/>
        <v>6.6958386958386953</v>
      </c>
      <c r="AB39" s="323">
        <f t="shared" si="15"/>
        <v>6.6958386958386953</v>
      </c>
      <c r="AC39" s="323">
        <f t="shared" si="15"/>
        <v>4.6870870870870869</v>
      </c>
      <c r="AD39" s="224"/>
      <c r="AE39" s="224"/>
    </row>
    <row r="40" spans="1:34" s="225" customFormat="1" ht="12.75" x14ac:dyDescent="0.2">
      <c r="A40" s="240" t="s">
        <v>124</v>
      </c>
      <c r="B40" s="323">
        <f t="shared" ref="B40:AC40" si="16">IF($B145&gt;=0.9, B$36,B$36*$B145)</f>
        <v>1.0205405405405406</v>
      </c>
      <c r="C40" s="323">
        <f t="shared" si="16"/>
        <v>1.0205405405405406</v>
      </c>
      <c r="D40" s="323">
        <f t="shared" si="16"/>
        <v>1.0205405405405406</v>
      </c>
      <c r="E40" s="323">
        <f t="shared" si="16"/>
        <v>1.0205405405405406</v>
      </c>
      <c r="F40" s="323">
        <f t="shared" si="16"/>
        <v>1.0205405405405406</v>
      </c>
      <c r="G40" s="323">
        <f t="shared" si="16"/>
        <v>1.0205405405405406</v>
      </c>
      <c r="H40" s="323">
        <f t="shared" si="16"/>
        <v>1.1663320463320463</v>
      </c>
      <c r="I40" s="323">
        <f t="shared" si="16"/>
        <v>1.1663320463320463</v>
      </c>
      <c r="J40" s="323">
        <f t="shared" si="16"/>
        <v>1.1663320463320463</v>
      </c>
      <c r="K40" s="323">
        <f t="shared" si="16"/>
        <v>1.3121235521235524</v>
      </c>
      <c r="L40" s="323">
        <f t="shared" si="16"/>
        <v>1.3121235521235524</v>
      </c>
      <c r="M40" s="323">
        <f t="shared" si="16"/>
        <v>1.3121235521235524</v>
      </c>
      <c r="N40" s="323">
        <f t="shared" si="16"/>
        <v>1.4579150579150579</v>
      </c>
      <c r="O40" s="323">
        <f t="shared" si="16"/>
        <v>1.4579150579150579</v>
      </c>
      <c r="P40" s="323">
        <f t="shared" si="16"/>
        <v>1.4579150579150579</v>
      </c>
      <c r="Q40" s="323">
        <f t="shared" si="16"/>
        <v>1.4579150579150579</v>
      </c>
      <c r="R40" s="323">
        <f t="shared" si="16"/>
        <v>1.4579150579150579</v>
      </c>
      <c r="S40" s="323">
        <f t="shared" si="16"/>
        <v>1.4579150579150579</v>
      </c>
      <c r="T40" s="323">
        <f t="shared" si="16"/>
        <v>1.4579150579150579</v>
      </c>
      <c r="U40" s="323">
        <f t="shared" si="16"/>
        <v>1.4579150579150579</v>
      </c>
      <c r="V40" s="323">
        <f t="shared" si="16"/>
        <v>1.4579150579150579</v>
      </c>
      <c r="W40" s="323">
        <f t="shared" si="16"/>
        <v>1.4579150579150579</v>
      </c>
      <c r="X40" s="323">
        <f t="shared" si="16"/>
        <v>1.4579150579150579</v>
      </c>
      <c r="Y40" s="323">
        <f t="shared" si="16"/>
        <v>1.4579150579150579</v>
      </c>
      <c r="Z40" s="323">
        <f t="shared" si="16"/>
        <v>1.4579150579150579</v>
      </c>
      <c r="AA40" s="323">
        <f t="shared" si="16"/>
        <v>1.4579150579150579</v>
      </c>
      <c r="AB40" s="323">
        <f t="shared" si="16"/>
        <v>1.4579150579150579</v>
      </c>
      <c r="AC40" s="323">
        <f t="shared" si="16"/>
        <v>1.0205405405405406</v>
      </c>
      <c r="AD40" s="224"/>
      <c r="AE40" s="224"/>
    </row>
    <row r="41" spans="1:34" s="225" customFormat="1" ht="12.75" x14ac:dyDescent="0.2">
      <c r="A41" s="240" t="s">
        <v>125</v>
      </c>
      <c r="B41" s="323">
        <f t="shared" ref="B41:AC41" si="17">IF($B146&gt;=0.9, B$36,B$36*$B146)</f>
        <v>2.6719519519519515</v>
      </c>
      <c r="C41" s="323">
        <f t="shared" si="17"/>
        <v>2.6719519519519515</v>
      </c>
      <c r="D41" s="323">
        <f t="shared" si="17"/>
        <v>2.6719519519519515</v>
      </c>
      <c r="E41" s="323">
        <f t="shared" si="17"/>
        <v>2.6719519519519515</v>
      </c>
      <c r="F41" s="323">
        <f t="shared" si="17"/>
        <v>2.6719519519519515</v>
      </c>
      <c r="G41" s="323">
        <f t="shared" si="17"/>
        <v>2.6719519519519515</v>
      </c>
      <c r="H41" s="323">
        <f t="shared" si="17"/>
        <v>3.0536593736593733</v>
      </c>
      <c r="I41" s="323">
        <f t="shared" si="17"/>
        <v>3.0536593736593733</v>
      </c>
      <c r="J41" s="323">
        <f t="shared" si="17"/>
        <v>3.0536593736593733</v>
      </c>
      <c r="K41" s="323">
        <f t="shared" si="17"/>
        <v>3.4353667953667952</v>
      </c>
      <c r="L41" s="323">
        <f t="shared" si="17"/>
        <v>3.4353667953667952</v>
      </c>
      <c r="M41" s="323">
        <f t="shared" si="17"/>
        <v>3.4353667953667952</v>
      </c>
      <c r="N41" s="323">
        <f t="shared" si="17"/>
        <v>3.8170742170742167</v>
      </c>
      <c r="O41" s="323">
        <f t="shared" si="17"/>
        <v>3.8170742170742167</v>
      </c>
      <c r="P41" s="323">
        <f t="shared" si="17"/>
        <v>3.8170742170742167</v>
      </c>
      <c r="Q41" s="323">
        <f t="shared" si="17"/>
        <v>3.8170742170742167</v>
      </c>
      <c r="R41" s="323">
        <f t="shared" si="17"/>
        <v>3.8170742170742167</v>
      </c>
      <c r="S41" s="323">
        <f t="shared" si="17"/>
        <v>3.8170742170742167</v>
      </c>
      <c r="T41" s="323">
        <f t="shared" si="17"/>
        <v>3.8170742170742167</v>
      </c>
      <c r="U41" s="323">
        <f t="shared" si="17"/>
        <v>3.8170742170742167</v>
      </c>
      <c r="V41" s="323">
        <f t="shared" si="17"/>
        <v>3.8170742170742167</v>
      </c>
      <c r="W41" s="323">
        <f t="shared" si="17"/>
        <v>3.8170742170742167</v>
      </c>
      <c r="X41" s="323">
        <f t="shared" si="17"/>
        <v>3.8170742170742167</v>
      </c>
      <c r="Y41" s="323">
        <f t="shared" si="17"/>
        <v>3.8170742170742167</v>
      </c>
      <c r="Z41" s="323">
        <f t="shared" si="17"/>
        <v>3.8170742170742167</v>
      </c>
      <c r="AA41" s="323">
        <f t="shared" si="17"/>
        <v>3.8170742170742167</v>
      </c>
      <c r="AB41" s="323">
        <f t="shared" si="17"/>
        <v>3.8170742170742167</v>
      </c>
      <c r="AC41" s="323">
        <f t="shared" si="17"/>
        <v>2.6719519519519515</v>
      </c>
      <c r="AD41" s="224"/>
      <c r="AE41" s="224"/>
    </row>
    <row r="42" spans="1:34" s="225" customFormat="1" ht="12.75" x14ac:dyDescent="0.2">
      <c r="A42" s="240" t="s">
        <v>126</v>
      </c>
      <c r="B42" s="323">
        <f t="shared" ref="B42:AC42" si="18">IF($B147&gt;=0.9, B$36,B$36*$B147)</f>
        <v>4.6092492492492489</v>
      </c>
      <c r="C42" s="323">
        <f t="shared" si="18"/>
        <v>4.6092492492492489</v>
      </c>
      <c r="D42" s="323">
        <f t="shared" si="18"/>
        <v>4.6092492492492489</v>
      </c>
      <c r="E42" s="323">
        <f t="shared" si="18"/>
        <v>4.6092492492492489</v>
      </c>
      <c r="F42" s="323">
        <f t="shared" si="18"/>
        <v>4.6092492492492489</v>
      </c>
      <c r="G42" s="323">
        <f t="shared" si="18"/>
        <v>4.6092492492492489</v>
      </c>
      <c r="H42" s="323">
        <f t="shared" si="18"/>
        <v>5.267713427713427</v>
      </c>
      <c r="I42" s="323">
        <f t="shared" si="18"/>
        <v>5.267713427713427</v>
      </c>
      <c r="J42" s="323">
        <f t="shared" si="18"/>
        <v>5.267713427713427</v>
      </c>
      <c r="K42" s="323">
        <f t="shared" si="18"/>
        <v>5.9261776061776059</v>
      </c>
      <c r="L42" s="323">
        <f t="shared" si="18"/>
        <v>5.9261776061776059</v>
      </c>
      <c r="M42" s="323">
        <f t="shared" si="18"/>
        <v>5.9261776061776059</v>
      </c>
      <c r="N42" s="323">
        <f t="shared" si="18"/>
        <v>6.584641784641784</v>
      </c>
      <c r="O42" s="323">
        <f t="shared" si="18"/>
        <v>6.584641784641784</v>
      </c>
      <c r="P42" s="323">
        <f t="shared" si="18"/>
        <v>6.584641784641784</v>
      </c>
      <c r="Q42" s="323">
        <f t="shared" si="18"/>
        <v>6.584641784641784</v>
      </c>
      <c r="R42" s="323">
        <f t="shared" si="18"/>
        <v>6.584641784641784</v>
      </c>
      <c r="S42" s="323">
        <f t="shared" si="18"/>
        <v>6.584641784641784</v>
      </c>
      <c r="T42" s="323">
        <f t="shared" si="18"/>
        <v>6.584641784641784</v>
      </c>
      <c r="U42" s="323">
        <f t="shared" si="18"/>
        <v>6.584641784641784</v>
      </c>
      <c r="V42" s="323">
        <f t="shared" si="18"/>
        <v>6.584641784641784</v>
      </c>
      <c r="W42" s="323">
        <f t="shared" si="18"/>
        <v>6.584641784641784</v>
      </c>
      <c r="X42" s="323">
        <f t="shared" si="18"/>
        <v>6.584641784641784</v>
      </c>
      <c r="Y42" s="323">
        <f t="shared" si="18"/>
        <v>6.584641784641784</v>
      </c>
      <c r="Z42" s="323">
        <f t="shared" si="18"/>
        <v>6.584641784641784</v>
      </c>
      <c r="AA42" s="323">
        <f t="shared" si="18"/>
        <v>6.584641784641784</v>
      </c>
      <c r="AB42" s="323">
        <f t="shared" si="18"/>
        <v>6.584641784641784</v>
      </c>
      <c r="AC42" s="323">
        <f t="shared" si="18"/>
        <v>4.6092492492492489</v>
      </c>
      <c r="AD42" s="224"/>
      <c r="AE42" s="224"/>
    </row>
    <row r="43" spans="1:34" s="225" customFormat="1" ht="12.75" x14ac:dyDescent="0.2">
      <c r="A43" s="240" t="s">
        <v>127</v>
      </c>
      <c r="B43" s="323">
        <f t="shared" ref="B43:AC43" si="19">IF($B148&gt;=0.9, B$36,B$36*$B148)</f>
        <v>4.6870870870870869</v>
      </c>
      <c r="C43" s="323">
        <f t="shared" si="19"/>
        <v>4.6870870870870869</v>
      </c>
      <c r="D43" s="323">
        <f t="shared" si="19"/>
        <v>4.6870870870870869</v>
      </c>
      <c r="E43" s="323">
        <f t="shared" si="19"/>
        <v>4.6870870870870869</v>
      </c>
      <c r="F43" s="323">
        <f t="shared" si="19"/>
        <v>4.6870870870870869</v>
      </c>
      <c r="G43" s="323">
        <f t="shared" si="19"/>
        <v>4.6870870870870869</v>
      </c>
      <c r="H43" s="323">
        <f t="shared" si="19"/>
        <v>5.3566709566709561</v>
      </c>
      <c r="I43" s="323">
        <f t="shared" si="19"/>
        <v>5.3566709566709561</v>
      </c>
      <c r="J43" s="323">
        <f t="shared" si="19"/>
        <v>5.3566709566709561</v>
      </c>
      <c r="K43" s="323">
        <f t="shared" si="19"/>
        <v>6.0262548262548261</v>
      </c>
      <c r="L43" s="323">
        <f t="shared" si="19"/>
        <v>6.0262548262548261</v>
      </c>
      <c r="M43" s="323">
        <f t="shared" si="19"/>
        <v>6.0262548262548261</v>
      </c>
      <c r="N43" s="323">
        <f t="shared" si="19"/>
        <v>6.6958386958386953</v>
      </c>
      <c r="O43" s="323">
        <f t="shared" si="19"/>
        <v>6.6958386958386953</v>
      </c>
      <c r="P43" s="323">
        <f t="shared" si="19"/>
        <v>6.6958386958386953</v>
      </c>
      <c r="Q43" s="323">
        <f t="shared" si="19"/>
        <v>6.6958386958386953</v>
      </c>
      <c r="R43" s="323">
        <f t="shared" si="19"/>
        <v>6.6958386958386953</v>
      </c>
      <c r="S43" s="323">
        <f t="shared" si="19"/>
        <v>6.6958386958386953</v>
      </c>
      <c r="T43" s="323">
        <f t="shared" si="19"/>
        <v>6.6958386958386953</v>
      </c>
      <c r="U43" s="323">
        <f t="shared" si="19"/>
        <v>6.6958386958386953</v>
      </c>
      <c r="V43" s="323">
        <f t="shared" si="19"/>
        <v>6.6958386958386953</v>
      </c>
      <c r="W43" s="323">
        <f t="shared" si="19"/>
        <v>6.6958386958386953</v>
      </c>
      <c r="X43" s="323">
        <f t="shared" si="19"/>
        <v>6.6958386958386953</v>
      </c>
      <c r="Y43" s="323">
        <f t="shared" si="19"/>
        <v>6.6958386958386953</v>
      </c>
      <c r="Z43" s="323">
        <f t="shared" si="19"/>
        <v>6.6958386958386953</v>
      </c>
      <c r="AA43" s="323">
        <f t="shared" si="19"/>
        <v>6.6958386958386953</v>
      </c>
      <c r="AB43" s="323">
        <f t="shared" si="19"/>
        <v>6.6958386958386953</v>
      </c>
      <c r="AC43" s="323">
        <f t="shared" si="19"/>
        <v>4.6870870870870869</v>
      </c>
      <c r="AD43" s="224"/>
      <c r="AE43" s="224"/>
    </row>
    <row r="44" spans="1:34" s="225" customFormat="1" ht="12.75" x14ac:dyDescent="0.2">
      <c r="A44" s="240" t="s">
        <v>128</v>
      </c>
      <c r="B44" s="323">
        <f t="shared" ref="B44:AC44" si="20">IF($B149&gt;=0.9, B$36,B$36*$B149)</f>
        <v>4.6870870870870869</v>
      </c>
      <c r="C44" s="323">
        <f t="shared" si="20"/>
        <v>4.6870870870870869</v>
      </c>
      <c r="D44" s="323">
        <f t="shared" si="20"/>
        <v>4.6870870870870869</v>
      </c>
      <c r="E44" s="323">
        <f t="shared" si="20"/>
        <v>4.6870870870870869</v>
      </c>
      <c r="F44" s="323">
        <f t="shared" si="20"/>
        <v>4.6870870870870869</v>
      </c>
      <c r="G44" s="323">
        <f t="shared" si="20"/>
        <v>4.6870870870870869</v>
      </c>
      <c r="H44" s="323">
        <f t="shared" si="20"/>
        <v>5.3566709566709561</v>
      </c>
      <c r="I44" s="323">
        <f t="shared" si="20"/>
        <v>5.3566709566709561</v>
      </c>
      <c r="J44" s="323">
        <f t="shared" si="20"/>
        <v>5.3566709566709561</v>
      </c>
      <c r="K44" s="323">
        <f t="shared" si="20"/>
        <v>6.0262548262548261</v>
      </c>
      <c r="L44" s="323">
        <f t="shared" si="20"/>
        <v>6.0262548262548261</v>
      </c>
      <c r="M44" s="323">
        <f t="shared" si="20"/>
        <v>6.0262548262548261</v>
      </c>
      <c r="N44" s="323">
        <f t="shared" si="20"/>
        <v>6.6958386958386953</v>
      </c>
      <c r="O44" s="323">
        <f t="shared" si="20"/>
        <v>6.6958386958386953</v>
      </c>
      <c r="P44" s="323">
        <f t="shared" si="20"/>
        <v>6.6958386958386953</v>
      </c>
      <c r="Q44" s="323">
        <f t="shared" si="20"/>
        <v>6.6958386958386953</v>
      </c>
      <c r="R44" s="323">
        <f t="shared" si="20"/>
        <v>6.6958386958386953</v>
      </c>
      <c r="S44" s="323">
        <f t="shared" si="20"/>
        <v>6.6958386958386953</v>
      </c>
      <c r="T44" s="323">
        <f t="shared" si="20"/>
        <v>6.6958386958386953</v>
      </c>
      <c r="U44" s="323">
        <f t="shared" si="20"/>
        <v>6.6958386958386953</v>
      </c>
      <c r="V44" s="323">
        <f t="shared" si="20"/>
        <v>6.6958386958386953</v>
      </c>
      <c r="W44" s="323">
        <f t="shared" si="20"/>
        <v>6.6958386958386953</v>
      </c>
      <c r="X44" s="323">
        <f t="shared" si="20"/>
        <v>6.6958386958386953</v>
      </c>
      <c r="Y44" s="323">
        <f t="shared" si="20"/>
        <v>6.6958386958386953</v>
      </c>
      <c r="Z44" s="323">
        <f t="shared" si="20"/>
        <v>6.6958386958386953</v>
      </c>
      <c r="AA44" s="323">
        <f t="shared" si="20"/>
        <v>6.6958386958386953</v>
      </c>
      <c r="AB44" s="323">
        <f t="shared" si="20"/>
        <v>6.6958386958386953</v>
      </c>
      <c r="AC44" s="323">
        <f t="shared" si="20"/>
        <v>4.6870870870870869</v>
      </c>
      <c r="AD44" s="224"/>
      <c r="AE44" s="224"/>
    </row>
    <row r="45" spans="1:34" s="225" customFormat="1" ht="12.75" x14ac:dyDescent="0.2">
      <c r="A45" s="240" t="s">
        <v>129</v>
      </c>
      <c r="B45" s="323">
        <f>IF(B$13="Deploy",B$36,IF($B150&gt;=0.9, B$36,B$36*$B150))</f>
        <v>2.3485885885885884</v>
      </c>
      <c r="C45" s="323">
        <f t="shared" ref="C45:AC45" si="21">IF(C$13="Deploy",C$36,IF($B150&gt;=0.9, C$36,C$36*$B150))</f>
        <v>2.3485885885885884</v>
      </c>
      <c r="D45" s="323">
        <f t="shared" si="21"/>
        <v>2.3485885885885884</v>
      </c>
      <c r="E45" s="323">
        <f t="shared" si="21"/>
        <v>2.3485885885885884</v>
      </c>
      <c r="F45" s="323">
        <f t="shared" si="21"/>
        <v>2.3485885885885884</v>
      </c>
      <c r="G45" s="323">
        <f t="shared" si="21"/>
        <v>2.3485885885885884</v>
      </c>
      <c r="H45" s="323">
        <f t="shared" si="21"/>
        <v>2.6841012441012437</v>
      </c>
      <c r="I45" s="323">
        <f t="shared" si="21"/>
        <v>2.6841012441012437</v>
      </c>
      <c r="J45" s="323">
        <f t="shared" si="21"/>
        <v>2.6841012441012437</v>
      </c>
      <c r="K45" s="323">
        <f t="shared" si="21"/>
        <v>3.0196138996138995</v>
      </c>
      <c r="L45" s="323">
        <f t="shared" si="21"/>
        <v>3.0196138996138995</v>
      </c>
      <c r="M45" s="323">
        <f t="shared" si="21"/>
        <v>3.0196138996138995</v>
      </c>
      <c r="N45" s="323">
        <f t="shared" si="21"/>
        <v>3.3551265551265548</v>
      </c>
      <c r="O45" s="323">
        <f t="shared" si="21"/>
        <v>3.3551265551265548</v>
      </c>
      <c r="P45" s="323">
        <f t="shared" si="21"/>
        <v>3.3551265551265548</v>
      </c>
      <c r="Q45" s="323">
        <f t="shared" si="21"/>
        <v>3.3551265551265548</v>
      </c>
      <c r="R45" s="323">
        <f t="shared" si="21"/>
        <v>9.6</v>
      </c>
      <c r="S45" s="323">
        <f t="shared" si="21"/>
        <v>9.6</v>
      </c>
      <c r="T45" s="323">
        <f t="shared" si="21"/>
        <v>9.6</v>
      </c>
      <c r="U45" s="323">
        <f t="shared" si="21"/>
        <v>9.6</v>
      </c>
      <c r="V45" s="323">
        <f t="shared" si="21"/>
        <v>9.6</v>
      </c>
      <c r="W45" s="323">
        <f t="shared" si="21"/>
        <v>9.6</v>
      </c>
      <c r="X45" s="323">
        <f t="shared" si="21"/>
        <v>3.3551265551265548</v>
      </c>
      <c r="Y45" s="323">
        <f t="shared" si="21"/>
        <v>3.3551265551265548</v>
      </c>
      <c r="Z45" s="323">
        <f t="shared" si="21"/>
        <v>3.3551265551265548</v>
      </c>
      <c r="AA45" s="323">
        <f t="shared" si="21"/>
        <v>3.3551265551265548</v>
      </c>
      <c r="AB45" s="323">
        <f t="shared" si="21"/>
        <v>3.3551265551265548</v>
      </c>
      <c r="AC45" s="323">
        <f t="shared" si="21"/>
        <v>2.3485885885885884</v>
      </c>
      <c r="AD45" s="224"/>
      <c r="AE45" s="224"/>
    </row>
    <row r="46" spans="1:34" s="225" customFormat="1" ht="12.75" x14ac:dyDescent="0.2">
      <c r="A46" s="240" t="s">
        <v>130</v>
      </c>
      <c r="B46" s="323">
        <f t="shared" ref="B46:AC46" si="22">IF($B151&gt;=0.9, B$36,B$36*$B151)</f>
        <v>5.002762762762762</v>
      </c>
      <c r="C46" s="323">
        <f t="shared" si="22"/>
        <v>5.002762762762762</v>
      </c>
      <c r="D46" s="323">
        <f t="shared" si="22"/>
        <v>5.002762762762762</v>
      </c>
      <c r="E46" s="323">
        <f t="shared" si="22"/>
        <v>5.002762762762762</v>
      </c>
      <c r="F46" s="323">
        <f t="shared" si="22"/>
        <v>5.002762762762762</v>
      </c>
      <c r="G46" s="323">
        <f t="shared" si="22"/>
        <v>5.002762762762762</v>
      </c>
      <c r="H46" s="323">
        <f t="shared" si="22"/>
        <v>5.7174431574431566</v>
      </c>
      <c r="I46" s="323">
        <f t="shared" si="22"/>
        <v>5.7174431574431566</v>
      </c>
      <c r="J46" s="323">
        <f t="shared" si="22"/>
        <v>5.7174431574431566</v>
      </c>
      <c r="K46" s="323">
        <f t="shared" si="22"/>
        <v>6.432123552123552</v>
      </c>
      <c r="L46" s="323">
        <f t="shared" si="22"/>
        <v>6.432123552123552</v>
      </c>
      <c r="M46" s="323">
        <f t="shared" si="22"/>
        <v>6.432123552123552</v>
      </c>
      <c r="N46" s="323">
        <f t="shared" si="22"/>
        <v>7.1468039468039457</v>
      </c>
      <c r="O46" s="323">
        <f t="shared" si="22"/>
        <v>7.1468039468039457</v>
      </c>
      <c r="P46" s="323">
        <f t="shared" si="22"/>
        <v>7.1468039468039457</v>
      </c>
      <c r="Q46" s="323">
        <f t="shared" si="22"/>
        <v>7.1468039468039457</v>
      </c>
      <c r="R46" s="323">
        <f t="shared" si="22"/>
        <v>7.1468039468039457</v>
      </c>
      <c r="S46" s="323">
        <f t="shared" si="22"/>
        <v>7.1468039468039457</v>
      </c>
      <c r="T46" s="323">
        <f t="shared" si="22"/>
        <v>7.1468039468039457</v>
      </c>
      <c r="U46" s="323">
        <f t="shared" si="22"/>
        <v>7.1468039468039457</v>
      </c>
      <c r="V46" s="323">
        <f t="shared" si="22"/>
        <v>7.1468039468039457</v>
      </c>
      <c r="W46" s="323">
        <f t="shared" si="22"/>
        <v>7.1468039468039457</v>
      </c>
      <c r="X46" s="323">
        <f t="shared" si="22"/>
        <v>7.1468039468039457</v>
      </c>
      <c r="Y46" s="323">
        <f t="shared" si="22"/>
        <v>7.1468039468039457</v>
      </c>
      <c r="Z46" s="323">
        <f t="shared" si="22"/>
        <v>7.1468039468039457</v>
      </c>
      <c r="AA46" s="323">
        <f t="shared" si="22"/>
        <v>7.1468039468039457</v>
      </c>
      <c r="AB46" s="323">
        <f t="shared" si="22"/>
        <v>7.1468039468039457</v>
      </c>
      <c r="AC46" s="323">
        <f t="shared" si="22"/>
        <v>5.002762762762762</v>
      </c>
      <c r="AD46" s="224"/>
      <c r="AE46" s="224"/>
    </row>
    <row r="47" spans="1:34" s="225" customFormat="1" ht="12.75" x14ac:dyDescent="0.2">
      <c r="A47" s="240" t="s">
        <v>131</v>
      </c>
      <c r="B47" s="323">
        <f>IF(B$13="Deploy",B$36,IF($B152&gt;=0.9, B$36,B$36*$B152))</f>
        <v>2.1907507507507504</v>
      </c>
      <c r="C47" s="323">
        <f t="shared" ref="C47:AC47" si="23">IF(C$13="Deploy",C$36,IF($B152&gt;=0.9, C$36,C$36*$B152))</f>
        <v>2.1907507507507504</v>
      </c>
      <c r="D47" s="323">
        <f t="shared" si="23"/>
        <v>2.1907507507507504</v>
      </c>
      <c r="E47" s="323">
        <f t="shared" si="23"/>
        <v>2.1907507507507504</v>
      </c>
      <c r="F47" s="323">
        <f t="shared" si="23"/>
        <v>2.1907507507507504</v>
      </c>
      <c r="G47" s="323">
        <f t="shared" si="23"/>
        <v>2.1907507507507504</v>
      </c>
      <c r="H47" s="323">
        <f t="shared" si="23"/>
        <v>2.5037151437151435</v>
      </c>
      <c r="I47" s="323">
        <f t="shared" si="23"/>
        <v>2.5037151437151435</v>
      </c>
      <c r="J47" s="323">
        <f t="shared" si="23"/>
        <v>2.5037151437151435</v>
      </c>
      <c r="K47" s="323">
        <f t="shared" si="23"/>
        <v>2.816679536679537</v>
      </c>
      <c r="L47" s="323">
        <f t="shared" si="23"/>
        <v>2.816679536679537</v>
      </c>
      <c r="M47" s="323">
        <f t="shared" si="23"/>
        <v>2.816679536679537</v>
      </c>
      <c r="N47" s="323">
        <f t="shared" si="23"/>
        <v>3.1296439296439296</v>
      </c>
      <c r="O47" s="323">
        <f t="shared" si="23"/>
        <v>3.1296439296439296</v>
      </c>
      <c r="P47" s="323">
        <f t="shared" si="23"/>
        <v>3.1296439296439296</v>
      </c>
      <c r="Q47" s="323">
        <f t="shared" si="23"/>
        <v>3.1296439296439296</v>
      </c>
      <c r="R47" s="323">
        <f t="shared" si="23"/>
        <v>9.6</v>
      </c>
      <c r="S47" s="323">
        <f t="shared" si="23"/>
        <v>9.6</v>
      </c>
      <c r="T47" s="323">
        <f t="shared" si="23"/>
        <v>9.6</v>
      </c>
      <c r="U47" s="323">
        <f t="shared" si="23"/>
        <v>9.6</v>
      </c>
      <c r="V47" s="323">
        <f t="shared" si="23"/>
        <v>9.6</v>
      </c>
      <c r="W47" s="323">
        <f t="shared" si="23"/>
        <v>9.6</v>
      </c>
      <c r="X47" s="323">
        <f t="shared" si="23"/>
        <v>3.1296439296439296</v>
      </c>
      <c r="Y47" s="323">
        <f t="shared" si="23"/>
        <v>3.1296439296439296</v>
      </c>
      <c r="Z47" s="323">
        <f t="shared" si="23"/>
        <v>3.1296439296439296</v>
      </c>
      <c r="AA47" s="323">
        <f t="shared" si="23"/>
        <v>3.1296439296439296</v>
      </c>
      <c r="AB47" s="323">
        <f t="shared" si="23"/>
        <v>3.1296439296439296</v>
      </c>
      <c r="AC47" s="323">
        <f t="shared" si="23"/>
        <v>2.1907507507507504</v>
      </c>
      <c r="AD47" s="224"/>
      <c r="AE47" s="224"/>
    </row>
    <row r="48" spans="1:34" s="225" customFormat="1" ht="12.75" x14ac:dyDescent="0.2">
      <c r="A48" s="240" t="s">
        <v>132</v>
      </c>
      <c r="B48" s="323">
        <f t="shared" ref="B48:AC48" si="24">IF($B153&gt;=0.9, B$36,B$36*$B153)</f>
        <v>6.72</v>
      </c>
      <c r="C48" s="323">
        <f t="shared" si="24"/>
        <v>6.72</v>
      </c>
      <c r="D48" s="323">
        <f t="shared" si="24"/>
        <v>6.72</v>
      </c>
      <c r="E48" s="323">
        <f t="shared" si="24"/>
        <v>6.72</v>
      </c>
      <c r="F48" s="323">
        <f t="shared" si="24"/>
        <v>6.72</v>
      </c>
      <c r="G48" s="323">
        <f t="shared" si="24"/>
        <v>6.72</v>
      </c>
      <c r="H48" s="323">
        <f t="shared" si="24"/>
        <v>7.68</v>
      </c>
      <c r="I48" s="323">
        <f t="shared" si="24"/>
        <v>7.68</v>
      </c>
      <c r="J48" s="323">
        <f t="shared" si="24"/>
        <v>7.68</v>
      </c>
      <c r="K48" s="323">
        <f t="shared" si="24"/>
        <v>8.64</v>
      </c>
      <c r="L48" s="323">
        <f t="shared" si="24"/>
        <v>8.64</v>
      </c>
      <c r="M48" s="323">
        <f t="shared" si="24"/>
        <v>8.64</v>
      </c>
      <c r="N48" s="323">
        <f t="shared" si="24"/>
        <v>9.6</v>
      </c>
      <c r="O48" s="323">
        <f t="shared" si="24"/>
        <v>9.6</v>
      </c>
      <c r="P48" s="323">
        <f t="shared" si="24"/>
        <v>9.6</v>
      </c>
      <c r="Q48" s="323">
        <f t="shared" si="24"/>
        <v>9.6</v>
      </c>
      <c r="R48" s="323">
        <f t="shared" si="24"/>
        <v>9.6</v>
      </c>
      <c r="S48" s="323">
        <f t="shared" si="24"/>
        <v>9.6</v>
      </c>
      <c r="T48" s="323">
        <f t="shared" si="24"/>
        <v>9.6</v>
      </c>
      <c r="U48" s="323">
        <f t="shared" si="24"/>
        <v>9.6</v>
      </c>
      <c r="V48" s="323">
        <f t="shared" si="24"/>
        <v>9.6</v>
      </c>
      <c r="W48" s="323">
        <f t="shared" si="24"/>
        <v>9.6</v>
      </c>
      <c r="X48" s="323">
        <f t="shared" si="24"/>
        <v>9.6</v>
      </c>
      <c r="Y48" s="323">
        <f t="shared" si="24"/>
        <v>9.6</v>
      </c>
      <c r="Z48" s="323">
        <f t="shared" si="24"/>
        <v>9.6</v>
      </c>
      <c r="AA48" s="323">
        <f t="shared" si="24"/>
        <v>9.6</v>
      </c>
      <c r="AB48" s="323">
        <f t="shared" si="24"/>
        <v>9.6</v>
      </c>
      <c r="AC48" s="323">
        <f t="shared" si="24"/>
        <v>6.72</v>
      </c>
      <c r="AD48" s="224"/>
      <c r="AE48" s="224"/>
    </row>
    <row r="49" spans="1:34" s="225" customFormat="1" ht="12.75" x14ac:dyDescent="0.2">
      <c r="A49" s="226" t="s">
        <v>133</v>
      </c>
      <c r="B49" s="227"/>
      <c r="C49" s="228"/>
      <c r="D49" s="228"/>
      <c r="E49" s="228"/>
      <c r="F49" s="228"/>
      <c r="G49" s="228"/>
      <c r="H49" s="228"/>
      <c r="I49" s="228"/>
      <c r="J49" s="229"/>
      <c r="K49" s="229"/>
      <c r="L49" s="228"/>
      <c r="M49" s="228"/>
      <c r="N49" s="230"/>
      <c r="O49" s="230"/>
      <c r="P49" s="231"/>
      <c r="Q49" s="228"/>
      <c r="R49" s="230"/>
      <c r="S49" s="230"/>
      <c r="T49" s="230"/>
      <c r="U49" s="230"/>
      <c r="V49" s="230"/>
      <c r="W49" s="230"/>
      <c r="X49" s="230"/>
      <c r="Y49" s="230"/>
      <c r="Z49" s="230"/>
      <c r="AA49" s="230"/>
      <c r="AB49" s="230"/>
      <c r="AC49" s="358"/>
      <c r="AD49" s="235"/>
      <c r="AE49" s="224"/>
    </row>
    <row r="50" spans="1:34" x14ac:dyDescent="0.2">
      <c r="A50" s="296" t="s">
        <v>134</v>
      </c>
      <c r="B50" s="297">
        <v>5</v>
      </c>
      <c r="C50" s="297">
        <v>5</v>
      </c>
      <c r="D50" s="297">
        <v>5</v>
      </c>
      <c r="E50" s="297">
        <v>5</v>
      </c>
      <c r="F50" s="297">
        <v>5</v>
      </c>
      <c r="G50" s="297">
        <v>5</v>
      </c>
      <c r="H50" s="297">
        <v>7</v>
      </c>
      <c r="I50" s="297">
        <v>7</v>
      </c>
      <c r="J50" s="297">
        <v>7</v>
      </c>
      <c r="K50" s="297">
        <v>8</v>
      </c>
      <c r="L50" s="297">
        <v>8</v>
      </c>
      <c r="M50" s="297">
        <v>8</v>
      </c>
      <c r="N50" s="297">
        <v>9</v>
      </c>
      <c r="O50" s="297">
        <v>9</v>
      </c>
      <c r="P50" s="297">
        <v>9</v>
      </c>
      <c r="Q50" s="297">
        <v>9</v>
      </c>
      <c r="R50" s="297">
        <v>9</v>
      </c>
      <c r="S50" s="297">
        <v>9</v>
      </c>
      <c r="T50" s="297">
        <v>9</v>
      </c>
      <c r="U50" s="297">
        <v>9</v>
      </c>
      <c r="V50" s="297">
        <v>9</v>
      </c>
      <c r="W50" s="297">
        <v>9</v>
      </c>
      <c r="X50" s="297">
        <v>9</v>
      </c>
      <c r="Y50" s="297">
        <v>9</v>
      </c>
      <c r="Z50" s="297">
        <v>9</v>
      </c>
      <c r="AA50" s="297">
        <v>9</v>
      </c>
      <c r="AB50" s="346">
        <v>9</v>
      </c>
      <c r="AC50" s="87">
        <v>5</v>
      </c>
      <c r="AD50" s="38"/>
      <c r="AE50" s="38"/>
      <c r="AF50" s="38"/>
      <c r="AG50" s="38"/>
      <c r="AH50" s="38"/>
    </row>
    <row r="51" spans="1:34" x14ac:dyDescent="0.2">
      <c r="A51" s="296" t="s">
        <v>135</v>
      </c>
      <c r="B51" s="297">
        <f t="shared" ref="B51:AC51" si="25">ROUND(1*B50,2)</f>
        <v>5</v>
      </c>
      <c r="C51" s="297">
        <f t="shared" si="25"/>
        <v>5</v>
      </c>
      <c r="D51" s="297">
        <f t="shared" si="25"/>
        <v>5</v>
      </c>
      <c r="E51" s="297">
        <f t="shared" si="25"/>
        <v>5</v>
      </c>
      <c r="F51" s="297">
        <f t="shared" si="25"/>
        <v>5</v>
      </c>
      <c r="G51" s="297">
        <f t="shared" si="25"/>
        <v>5</v>
      </c>
      <c r="H51" s="297">
        <f t="shared" si="25"/>
        <v>7</v>
      </c>
      <c r="I51" s="297">
        <f t="shared" si="25"/>
        <v>7</v>
      </c>
      <c r="J51" s="297">
        <f t="shared" si="25"/>
        <v>7</v>
      </c>
      <c r="K51" s="297">
        <f t="shared" si="25"/>
        <v>8</v>
      </c>
      <c r="L51" s="297">
        <f t="shared" si="25"/>
        <v>8</v>
      </c>
      <c r="M51" s="297">
        <f t="shared" si="25"/>
        <v>8</v>
      </c>
      <c r="N51" s="297">
        <f t="shared" si="25"/>
        <v>9</v>
      </c>
      <c r="O51" s="297">
        <f t="shared" si="25"/>
        <v>9</v>
      </c>
      <c r="P51" s="297">
        <f t="shared" si="25"/>
        <v>9</v>
      </c>
      <c r="Q51" s="297">
        <f t="shared" si="25"/>
        <v>9</v>
      </c>
      <c r="R51" s="297">
        <f t="shared" si="25"/>
        <v>9</v>
      </c>
      <c r="S51" s="297">
        <f t="shared" si="25"/>
        <v>9</v>
      </c>
      <c r="T51" s="297">
        <f t="shared" si="25"/>
        <v>9</v>
      </c>
      <c r="U51" s="297">
        <f t="shared" si="25"/>
        <v>9</v>
      </c>
      <c r="V51" s="297">
        <f t="shared" si="25"/>
        <v>9</v>
      </c>
      <c r="W51" s="297">
        <f t="shared" si="25"/>
        <v>9</v>
      </c>
      <c r="X51" s="297">
        <f t="shared" si="25"/>
        <v>9</v>
      </c>
      <c r="Y51" s="297">
        <f t="shared" si="25"/>
        <v>9</v>
      </c>
      <c r="Z51" s="297">
        <f t="shared" si="25"/>
        <v>9</v>
      </c>
      <c r="AA51" s="297">
        <f t="shared" si="25"/>
        <v>9</v>
      </c>
      <c r="AB51" s="346">
        <f t="shared" si="25"/>
        <v>9</v>
      </c>
      <c r="AC51" s="87">
        <f t="shared" si="25"/>
        <v>5</v>
      </c>
      <c r="AF51" s="14"/>
      <c r="AG51" s="14"/>
      <c r="AH51" s="14"/>
    </row>
    <row r="52" spans="1:34" s="30" customFormat="1" x14ac:dyDescent="0.2">
      <c r="A52" s="89" t="s">
        <v>136</v>
      </c>
      <c r="B52" s="91">
        <v>4</v>
      </c>
      <c r="C52" s="91">
        <v>4</v>
      </c>
      <c r="D52" s="91">
        <v>4</v>
      </c>
      <c r="E52" s="91">
        <v>4</v>
      </c>
      <c r="F52" s="91">
        <v>4</v>
      </c>
      <c r="G52" s="91">
        <v>4</v>
      </c>
      <c r="H52" s="91">
        <v>4</v>
      </c>
      <c r="I52" s="91">
        <v>5</v>
      </c>
      <c r="J52" s="91">
        <v>5</v>
      </c>
      <c r="K52" s="91">
        <v>6</v>
      </c>
      <c r="L52" s="91">
        <v>6</v>
      </c>
      <c r="M52" s="91">
        <v>6</v>
      </c>
      <c r="N52" s="91">
        <v>6</v>
      </c>
      <c r="O52" s="91">
        <v>6</v>
      </c>
      <c r="P52" s="91">
        <v>6</v>
      </c>
      <c r="Q52" s="91">
        <v>6</v>
      </c>
      <c r="R52" s="91">
        <v>6</v>
      </c>
      <c r="S52" s="91">
        <v>6</v>
      </c>
      <c r="T52" s="91">
        <v>6</v>
      </c>
      <c r="U52" s="91">
        <v>6</v>
      </c>
      <c r="V52" s="91">
        <v>6</v>
      </c>
      <c r="W52" s="91">
        <v>6</v>
      </c>
      <c r="X52" s="91">
        <v>6</v>
      </c>
      <c r="Y52" s="91">
        <v>6</v>
      </c>
      <c r="Z52" s="91">
        <v>6</v>
      </c>
      <c r="AA52" s="91">
        <v>6</v>
      </c>
      <c r="AB52" s="347">
        <v>6</v>
      </c>
      <c r="AC52" s="68">
        <v>6</v>
      </c>
      <c r="AF52" s="14"/>
      <c r="AG52" s="14"/>
      <c r="AH52" s="14"/>
    </row>
    <row r="53" spans="1:34" s="30" customFormat="1" x14ac:dyDescent="0.2">
      <c r="A53" s="89" t="s">
        <v>137</v>
      </c>
      <c r="B53" s="87">
        <v>3</v>
      </c>
      <c r="C53" s="87">
        <v>3</v>
      </c>
      <c r="D53" s="87">
        <v>3</v>
      </c>
      <c r="E53" s="87">
        <v>3</v>
      </c>
      <c r="F53" s="87">
        <v>3</v>
      </c>
      <c r="G53" s="87">
        <v>3</v>
      </c>
      <c r="H53" s="87">
        <v>3</v>
      </c>
      <c r="I53" s="87">
        <v>3.75</v>
      </c>
      <c r="J53" s="87">
        <v>3.75</v>
      </c>
      <c r="K53" s="87">
        <v>4.5</v>
      </c>
      <c r="L53" s="87">
        <v>4.5</v>
      </c>
      <c r="M53" s="87">
        <v>4.5</v>
      </c>
      <c r="N53" s="87">
        <v>4.5</v>
      </c>
      <c r="O53" s="87">
        <v>4.5</v>
      </c>
      <c r="P53" s="87">
        <v>4.5</v>
      </c>
      <c r="Q53" s="87">
        <v>4.5</v>
      </c>
      <c r="R53" s="87">
        <v>4.5</v>
      </c>
      <c r="S53" s="87">
        <v>4.5</v>
      </c>
      <c r="T53" s="87">
        <v>4.5</v>
      </c>
      <c r="U53" s="87">
        <v>4.5</v>
      </c>
      <c r="V53" s="87">
        <v>4.5</v>
      </c>
      <c r="W53" s="87">
        <v>4.5</v>
      </c>
      <c r="X53" s="87">
        <v>4.5</v>
      </c>
      <c r="Y53" s="87">
        <v>4.5</v>
      </c>
      <c r="Z53" s="87">
        <v>4.5</v>
      </c>
      <c r="AA53" s="87">
        <v>4.5</v>
      </c>
      <c r="AB53" s="348">
        <v>4.5</v>
      </c>
      <c r="AC53" s="65">
        <v>4.5</v>
      </c>
      <c r="AF53" s="14"/>
      <c r="AG53" s="14"/>
      <c r="AH53" s="14"/>
    </row>
    <row r="54" spans="1:34" s="30" customFormat="1" ht="12.75" x14ac:dyDescent="0.2">
      <c r="A54" s="33" t="s">
        <v>138</v>
      </c>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24"/>
      <c r="AF54" s="23"/>
      <c r="AG54" s="23"/>
      <c r="AH54" s="23"/>
    </row>
    <row r="55" spans="1:34" x14ac:dyDescent="0.2">
      <c r="A55" s="19" t="s">
        <v>139</v>
      </c>
      <c r="B55" s="41">
        <f t="shared" ref="B55:AC55" si="26">$B$95</f>
        <v>17</v>
      </c>
      <c r="C55" s="41">
        <f t="shared" si="26"/>
        <v>17</v>
      </c>
      <c r="D55" s="41">
        <f t="shared" si="26"/>
        <v>17</v>
      </c>
      <c r="E55" s="41">
        <f t="shared" si="26"/>
        <v>17</v>
      </c>
      <c r="F55" s="41">
        <f t="shared" si="26"/>
        <v>17</v>
      </c>
      <c r="G55" s="41">
        <f t="shared" si="26"/>
        <v>17</v>
      </c>
      <c r="H55" s="41">
        <f t="shared" si="26"/>
        <v>17</v>
      </c>
      <c r="I55" s="41">
        <f t="shared" si="26"/>
        <v>17</v>
      </c>
      <c r="J55" s="41">
        <f t="shared" si="26"/>
        <v>17</v>
      </c>
      <c r="K55" s="41">
        <f t="shared" si="26"/>
        <v>17</v>
      </c>
      <c r="L55" s="41">
        <f t="shared" si="26"/>
        <v>17</v>
      </c>
      <c r="M55" s="41">
        <f t="shared" si="26"/>
        <v>17</v>
      </c>
      <c r="N55" s="41">
        <f t="shared" si="26"/>
        <v>17</v>
      </c>
      <c r="O55" s="41">
        <f t="shared" si="26"/>
        <v>17</v>
      </c>
      <c r="P55" s="41">
        <f t="shared" si="26"/>
        <v>17</v>
      </c>
      <c r="Q55" s="41">
        <f t="shared" si="26"/>
        <v>17</v>
      </c>
      <c r="R55" s="41">
        <f t="shared" si="26"/>
        <v>17</v>
      </c>
      <c r="S55" s="41">
        <f t="shared" si="26"/>
        <v>17</v>
      </c>
      <c r="T55" s="41">
        <f t="shared" si="26"/>
        <v>17</v>
      </c>
      <c r="U55" s="41">
        <f t="shared" si="26"/>
        <v>17</v>
      </c>
      <c r="V55" s="41">
        <f t="shared" si="26"/>
        <v>17</v>
      </c>
      <c r="W55" s="41">
        <f t="shared" si="26"/>
        <v>17</v>
      </c>
      <c r="X55" s="41">
        <f t="shared" si="26"/>
        <v>17</v>
      </c>
      <c r="Y55" s="41">
        <f t="shared" si="26"/>
        <v>17</v>
      </c>
      <c r="Z55" s="41">
        <f t="shared" si="26"/>
        <v>17</v>
      </c>
      <c r="AA55" s="41">
        <f t="shared" si="26"/>
        <v>17</v>
      </c>
      <c r="AB55" s="349">
        <f t="shared" si="26"/>
        <v>17</v>
      </c>
      <c r="AC55" s="112">
        <f t="shared" si="26"/>
        <v>17</v>
      </c>
    </row>
    <row r="56" spans="1:34" x14ac:dyDescent="0.2">
      <c r="A56" s="42" t="s">
        <v>140</v>
      </c>
      <c r="B56" s="43">
        <f t="shared" ref="B56:AC56" si="27">ROUNDUP(IF(B$13="Deploy",MAX((B$89/100)*$B96,$B96),(B$89/100)*$B96),0)</f>
        <v>7</v>
      </c>
      <c r="C56" s="43">
        <f t="shared" si="27"/>
        <v>7</v>
      </c>
      <c r="D56" s="43">
        <f t="shared" si="27"/>
        <v>7</v>
      </c>
      <c r="E56" s="43">
        <f t="shared" si="27"/>
        <v>7</v>
      </c>
      <c r="F56" s="43">
        <f t="shared" si="27"/>
        <v>7</v>
      </c>
      <c r="G56" s="43">
        <f t="shared" si="27"/>
        <v>7</v>
      </c>
      <c r="H56" s="43">
        <f t="shared" si="27"/>
        <v>8</v>
      </c>
      <c r="I56" s="43">
        <f t="shared" si="27"/>
        <v>10</v>
      </c>
      <c r="J56" s="43">
        <f t="shared" si="27"/>
        <v>11</v>
      </c>
      <c r="K56" s="43">
        <f t="shared" si="27"/>
        <v>11</v>
      </c>
      <c r="L56" s="43">
        <f t="shared" si="27"/>
        <v>13</v>
      </c>
      <c r="M56" s="43">
        <f t="shared" si="27"/>
        <v>15</v>
      </c>
      <c r="N56" s="43">
        <f t="shared" si="27"/>
        <v>15</v>
      </c>
      <c r="O56" s="43">
        <f t="shared" si="27"/>
        <v>15</v>
      </c>
      <c r="P56" s="43">
        <f t="shared" si="27"/>
        <v>15</v>
      </c>
      <c r="Q56" s="43">
        <f t="shared" si="27"/>
        <v>15</v>
      </c>
      <c r="R56" s="43">
        <f t="shared" si="27"/>
        <v>17</v>
      </c>
      <c r="S56" s="43">
        <f t="shared" si="27"/>
        <v>17</v>
      </c>
      <c r="T56" s="43">
        <f t="shared" si="27"/>
        <v>17</v>
      </c>
      <c r="U56" s="43">
        <f t="shared" si="27"/>
        <v>17</v>
      </c>
      <c r="V56" s="43">
        <f t="shared" si="27"/>
        <v>17</v>
      </c>
      <c r="W56" s="43">
        <f t="shared" si="27"/>
        <v>17</v>
      </c>
      <c r="X56" s="43">
        <f t="shared" si="27"/>
        <v>16</v>
      </c>
      <c r="Y56" s="43">
        <f t="shared" si="27"/>
        <v>16</v>
      </c>
      <c r="Z56" s="43">
        <f t="shared" si="27"/>
        <v>15</v>
      </c>
      <c r="AA56" s="43">
        <f t="shared" si="27"/>
        <v>15</v>
      </c>
      <c r="AB56" s="350">
        <f t="shared" si="27"/>
        <v>14</v>
      </c>
      <c r="AC56" s="43">
        <f t="shared" si="27"/>
        <v>7</v>
      </c>
    </row>
    <row r="57" spans="1:34" x14ac:dyDescent="0.2">
      <c r="A57" s="66" t="s">
        <v>141</v>
      </c>
      <c r="B57" s="69">
        <f>B55</f>
        <v>17</v>
      </c>
      <c r="C57" s="69">
        <f t="shared" ref="C57:AB58" si="28">C55</f>
        <v>17</v>
      </c>
      <c r="D57" s="69">
        <f t="shared" si="28"/>
        <v>17</v>
      </c>
      <c r="E57" s="69">
        <f t="shared" si="28"/>
        <v>17</v>
      </c>
      <c r="F57" s="69">
        <f t="shared" si="28"/>
        <v>17</v>
      </c>
      <c r="G57" s="69">
        <f t="shared" si="28"/>
        <v>17</v>
      </c>
      <c r="H57" s="69">
        <f t="shared" si="28"/>
        <v>17</v>
      </c>
      <c r="I57" s="69">
        <f t="shared" si="28"/>
        <v>17</v>
      </c>
      <c r="J57" s="69">
        <f t="shared" si="28"/>
        <v>17</v>
      </c>
      <c r="K57" s="69">
        <f t="shared" si="28"/>
        <v>17</v>
      </c>
      <c r="L57" s="69">
        <f t="shared" si="28"/>
        <v>17</v>
      </c>
      <c r="M57" s="69">
        <f t="shared" si="28"/>
        <v>17</v>
      </c>
      <c r="N57" s="69">
        <f t="shared" si="28"/>
        <v>17</v>
      </c>
      <c r="O57" s="69">
        <f t="shared" si="28"/>
        <v>17</v>
      </c>
      <c r="P57" s="69">
        <f t="shared" si="28"/>
        <v>17</v>
      </c>
      <c r="Q57" s="69">
        <f t="shared" si="28"/>
        <v>17</v>
      </c>
      <c r="R57" s="69">
        <f t="shared" si="28"/>
        <v>17</v>
      </c>
      <c r="S57" s="69">
        <f t="shared" si="28"/>
        <v>17</v>
      </c>
      <c r="T57" s="69">
        <f t="shared" si="28"/>
        <v>17</v>
      </c>
      <c r="U57" s="69">
        <f t="shared" si="28"/>
        <v>17</v>
      </c>
      <c r="V57" s="69">
        <f t="shared" si="28"/>
        <v>17</v>
      </c>
      <c r="W57" s="69">
        <f t="shared" si="28"/>
        <v>17</v>
      </c>
      <c r="X57" s="69">
        <f t="shared" si="28"/>
        <v>17</v>
      </c>
      <c r="Y57" s="69">
        <f t="shared" si="28"/>
        <v>17</v>
      </c>
      <c r="Z57" s="69">
        <f t="shared" si="28"/>
        <v>17</v>
      </c>
      <c r="AA57" s="69">
        <f t="shared" si="28"/>
        <v>17</v>
      </c>
      <c r="AB57" s="351">
        <f t="shared" si="28"/>
        <v>17</v>
      </c>
      <c r="AC57" s="69">
        <f>AC55</f>
        <v>17</v>
      </c>
    </row>
    <row r="58" spans="1:34" x14ac:dyDescent="0.2">
      <c r="A58" s="78" t="s">
        <v>142</v>
      </c>
      <c r="B58" s="79">
        <f>C58</f>
        <v>7</v>
      </c>
      <c r="C58" s="79">
        <f>D58</f>
        <v>7</v>
      </c>
      <c r="D58" s="79">
        <f t="shared" si="28"/>
        <v>7</v>
      </c>
      <c r="E58" s="79">
        <f t="shared" si="28"/>
        <v>7</v>
      </c>
      <c r="F58" s="79">
        <f t="shared" si="28"/>
        <v>7</v>
      </c>
      <c r="G58" s="79">
        <f t="shared" si="28"/>
        <v>7</v>
      </c>
      <c r="H58" s="79">
        <f t="shared" si="28"/>
        <v>8</v>
      </c>
      <c r="I58" s="79">
        <f t="shared" si="28"/>
        <v>10</v>
      </c>
      <c r="J58" s="79">
        <f t="shared" si="28"/>
        <v>11</v>
      </c>
      <c r="K58" s="79">
        <f t="shared" si="28"/>
        <v>11</v>
      </c>
      <c r="L58" s="79">
        <f t="shared" si="28"/>
        <v>13</v>
      </c>
      <c r="M58" s="79">
        <f t="shared" si="28"/>
        <v>15</v>
      </c>
      <c r="N58" s="79">
        <f t="shared" si="28"/>
        <v>15</v>
      </c>
      <c r="O58" s="79">
        <f t="shared" si="28"/>
        <v>15</v>
      </c>
      <c r="P58" s="79">
        <f t="shared" si="28"/>
        <v>15</v>
      </c>
      <c r="Q58" s="79">
        <f t="shared" si="28"/>
        <v>15</v>
      </c>
      <c r="R58" s="79">
        <f t="shared" si="28"/>
        <v>17</v>
      </c>
      <c r="S58" s="79">
        <f t="shared" si="28"/>
        <v>17</v>
      </c>
      <c r="T58" s="79">
        <f t="shared" si="28"/>
        <v>17</v>
      </c>
      <c r="U58" s="79">
        <f t="shared" si="28"/>
        <v>17</v>
      </c>
      <c r="V58" s="79">
        <f t="shared" si="28"/>
        <v>17</v>
      </c>
      <c r="W58" s="79">
        <f t="shared" si="28"/>
        <v>17</v>
      </c>
      <c r="X58" s="79">
        <f t="shared" si="28"/>
        <v>16</v>
      </c>
      <c r="Y58" s="79">
        <f t="shared" si="28"/>
        <v>16</v>
      </c>
      <c r="Z58" s="79">
        <f t="shared" si="28"/>
        <v>15</v>
      </c>
      <c r="AA58" s="79">
        <f t="shared" si="28"/>
        <v>15</v>
      </c>
      <c r="AB58" s="352">
        <f t="shared" si="28"/>
        <v>14</v>
      </c>
      <c r="AC58" s="79">
        <f>AC56</f>
        <v>7</v>
      </c>
    </row>
    <row r="59" spans="1:34" x14ac:dyDescent="0.2">
      <c r="A59" s="42" t="str">
        <f>A99</f>
        <v>&gt; L4 Pilots</v>
      </c>
      <c r="B59" s="43">
        <f t="shared" ref="B59:AC59" si="29">ROUNDUP(IF(B$13="Deploy",MAX((B$89/100)*$B99,$B99),(B$89/100)*$B99),0)</f>
        <v>2</v>
      </c>
      <c r="C59" s="43">
        <f t="shared" si="29"/>
        <v>2</v>
      </c>
      <c r="D59" s="43">
        <f t="shared" si="29"/>
        <v>2</v>
      </c>
      <c r="E59" s="43">
        <f t="shared" si="29"/>
        <v>2</v>
      </c>
      <c r="F59" s="43">
        <f t="shared" si="29"/>
        <v>2</v>
      </c>
      <c r="G59" s="43">
        <f t="shared" si="29"/>
        <v>2</v>
      </c>
      <c r="H59" s="43">
        <f t="shared" si="29"/>
        <v>3</v>
      </c>
      <c r="I59" s="43">
        <f t="shared" si="29"/>
        <v>3</v>
      </c>
      <c r="J59" s="43">
        <f t="shared" si="29"/>
        <v>4</v>
      </c>
      <c r="K59" s="43">
        <f t="shared" si="29"/>
        <v>4</v>
      </c>
      <c r="L59" s="43">
        <f t="shared" si="29"/>
        <v>4</v>
      </c>
      <c r="M59" s="43">
        <f t="shared" si="29"/>
        <v>5</v>
      </c>
      <c r="N59" s="43">
        <f t="shared" si="29"/>
        <v>5</v>
      </c>
      <c r="O59" s="43">
        <f t="shared" si="29"/>
        <v>5</v>
      </c>
      <c r="P59" s="43">
        <f t="shared" si="29"/>
        <v>5</v>
      </c>
      <c r="Q59" s="43">
        <f t="shared" si="29"/>
        <v>5</v>
      </c>
      <c r="R59" s="43">
        <f t="shared" si="29"/>
        <v>5</v>
      </c>
      <c r="S59" s="43">
        <f t="shared" si="29"/>
        <v>5</v>
      </c>
      <c r="T59" s="43">
        <f t="shared" si="29"/>
        <v>5</v>
      </c>
      <c r="U59" s="43">
        <f t="shared" si="29"/>
        <v>5</v>
      </c>
      <c r="V59" s="43">
        <f t="shared" si="29"/>
        <v>5</v>
      </c>
      <c r="W59" s="43">
        <f t="shared" si="29"/>
        <v>5</v>
      </c>
      <c r="X59" s="43">
        <f t="shared" si="29"/>
        <v>5</v>
      </c>
      <c r="Y59" s="43">
        <f t="shared" si="29"/>
        <v>5</v>
      </c>
      <c r="Z59" s="43">
        <f t="shared" si="29"/>
        <v>5</v>
      </c>
      <c r="AA59" s="43">
        <f t="shared" si="29"/>
        <v>5</v>
      </c>
      <c r="AB59" s="350">
        <f t="shared" si="29"/>
        <v>5</v>
      </c>
      <c r="AC59" s="43">
        <f t="shared" si="29"/>
        <v>2</v>
      </c>
    </row>
    <row r="60" spans="1:34" s="21" customFormat="1" x14ac:dyDescent="0.2">
      <c r="A60" s="42" t="str">
        <f t="shared" ref="A60:A73" si="30">A100</f>
        <v>&gt; L3 Pilots</v>
      </c>
      <c r="B60" s="43">
        <f t="shared" ref="B60:AC60" si="31">ROUNDUP(IF(B$13="Deploy",MAX((B$89/100)*$B100,$B100),(B$89/100)*$B100),0)</f>
        <v>3</v>
      </c>
      <c r="C60" s="43">
        <f t="shared" si="31"/>
        <v>3</v>
      </c>
      <c r="D60" s="43">
        <f t="shared" si="31"/>
        <v>3</v>
      </c>
      <c r="E60" s="43">
        <f t="shared" si="31"/>
        <v>3</v>
      </c>
      <c r="F60" s="43">
        <f t="shared" si="31"/>
        <v>3</v>
      </c>
      <c r="G60" s="43">
        <f t="shared" si="31"/>
        <v>3</v>
      </c>
      <c r="H60" s="43">
        <f t="shared" si="31"/>
        <v>4</v>
      </c>
      <c r="I60" s="43">
        <f t="shared" si="31"/>
        <v>4</v>
      </c>
      <c r="J60" s="43">
        <f t="shared" si="31"/>
        <v>5</v>
      </c>
      <c r="K60" s="43">
        <f t="shared" si="31"/>
        <v>5</v>
      </c>
      <c r="L60" s="43">
        <f t="shared" si="31"/>
        <v>6</v>
      </c>
      <c r="M60" s="43">
        <f t="shared" si="31"/>
        <v>6</v>
      </c>
      <c r="N60" s="43">
        <f t="shared" si="31"/>
        <v>6</v>
      </c>
      <c r="O60" s="43">
        <f t="shared" si="31"/>
        <v>6</v>
      </c>
      <c r="P60" s="43">
        <f t="shared" si="31"/>
        <v>6</v>
      </c>
      <c r="Q60" s="43">
        <f t="shared" si="31"/>
        <v>6</v>
      </c>
      <c r="R60" s="43">
        <f t="shared" si="31"/>
        <v>7</v>
      </c>
      <c r="S60" s="43">
        <f t="shared" si="31"/>
        <v>7</v>
      </c>
      <c r="T60" s="43">
        <f t="shared" si="31"/>
        <v>7</v>
      </c>
      <c r="U60" s="43">
        <f t="shared" si="31"/>
        <v>7</v>
      </c>
      <c r="V60" s="43">
        <f t="shared" si="31"/>
        <v>7</v>
      </c>
      <c r="W60" s="43">
        <f t="shared" si="31"/>
        <v>7</v>
      </c>
      <c r="X60" s="43">
        <f t="shared" si="31"/>
        <v>7</v>
      </c>
      <c r="Y60" s="43">
        <f t="shared" si="31"/>
        <v>7</v>
      </c>
      <c r="Z60" s="43">
        <f t="shared" si="31"/>
        <v>6</v>
      </c>
      <c r="AA60" s="43">
        <f t="shared" si="31"/>
        <v>6</v>
      </c>
      <c r="AB60" s="350">
        <f t="shared" si="31"/>
        <v>6</v>
      </c>
      <c r="AC60" s="43">
        <f t="shared" si="31"/>
        <v>3</v>
      </c>
    </row>
    <row r="61" spans="1:34" s="21" customFormat="1" x14ac:dyDescent="0.2">
      <c r="A61" s="42" t="str">
        <f t="shared" si="30"/>
        <v>&gt; L2 Pilots</v>
      </c>
      <c r="B61" s="43">
        <f t="shared" ref="B61:AC61" si="32">ROUNDUP(IF(B$13="Deploy",MAX((B$89/100)*$B101,$B101),(B$89/100)*$B101),0)</f>
        <v>5</v>
      </c>
      <c r="C61" s="43">
        <f t="shared" si="32"/>
        <v>5</v>
      </c>
      <c r="D61" s="43">
        <f t="shared" si="32"/>
        <v>5</v>
      </c>
      <c r="E61" s="43">
        <f t="shared" si="32"/>
        <v>5</v>
      </c>
      <c r="F61" s="43">
        <f t="shared" si="32"/>
        <v>5</v>
      </c>
      <c r="G61" s="43">
        <f t="shared" si="32"/>
        <v>5</v>
      </c>
      <c r="H61" s="43">
        <f t="shared" si="32"/>
        <v>6</v>
      </c>
      <c r="I61" s="43">
        <f t="shared" si="32"/>
        <v>7</v>
      </c>
      <c r="J61" s="43">
        <f t="shared" si="32"/>
        <v>8</v>
      </c>
      <c r="K61" s="43">
        <f t="shared" si="32"/>
        <v>8</v>
      </c>
      <c r="L61" s="43">
        <f t="shared" si="32"/>
        <v>9</v>
      </c>
      <c r="M61" s="43">
        <f t="shared" si="32"/>
        <v>11</v>
      </c>
      <c r="N61" s="43">
        <f t="shared" si="32"/>
        <v>11</v>
      </c>
      <c r="O61" s="43">
        <f t="shared" si="32"/>
        <v>11</v>
      </c>
      <c r="P61" s="43">
        <f t="shared" si="32"/>
        <v>11</v>
      </c>
      <c r="Q61" s="43">
        <f t="shared" si="32"/>
        <v>11</v>
      </c>
      <c r="R61" s="43">
        <f t="shared" si="32"/>
        <v>12</v>
      </c>
      <c r="S61" s="43">
        <f t="shared" si="32"/>
        <v>12</v>
      </c>
      <c r="T61" s="43">
        <f t="shared" si="32"/>
        <v>12</v>
      </c>
      <c r="U61" s="43">
        <f t="shared" si="32"/>
        <v>12</v>
      </c>
      <c r="V61" s="43">
        <f t="shared" si="32"/>
        <v>12</v>
      </c>
      <c r="W61" s="43">
        <f t="shared" si="32"/>
        <v>12</v>
      </c>
      <c r="X61" s="43">
        <f t="shared" si="32"/>
        <v>12</v>
      </c>
      <c r="Y61" s="43">
        <f t="shared" si="32"/>
        <v>11</v>
      </c>
      <c r="Z61" s="43">
        <f t="shared" si="32"/>
        <v>11</v>
      </c>
      <c r="AA61" s="43">
        <f t="shared" si="32"/>
        <v>11</v>
      </c>
      <c r="AB61" s="350">
        <f t="shared" si="32"/>
        <v>10</v>
      </c>
      <c r="AC61" s="43">
        <f t="shared" si="32"/>
        <v>5</v>
      </c>
    </row>
    <row r="62" spans="1:34" s="21" customFormat="1" x14ac:dyDescent="0.2">
      <c r="A62" s="42" t="str">
        <f t="shared" si="30"/>
        <v>&gt; L1 Pilots</v>
      </c>
      <c r="B62" s="43">
        <f t="shared" ref="B62:AC62" si="33">ROUNDUP(IF(B$13="Deploy",MAX((B$89/100)*$B102,$B102),(B$89/100)*$B102),0)</f>
        <v>7</v>
      </c>
      <c r="C62" s="43">
        <f t="shared" si="33"/>
        <v>7</v>
      </c>
      <c r="D62" s="43">
        <f t="shared" si="33"/>
        <v>7</v>
      </c>
      <c r="E62" s="43">
        <f t="shared" si="33"/>
        <v>7</v>
      </c>
      <c r="F62" s="43">
        <f t="shared" si="33"/>
        <v>7</v>
      </c>
      <c r="G62" s="43">
        <f t="shared" si="33"/>
        <v>7</v>
      </c>
      <c r="H62" s="43">
        <f t="shared" si="33"/>
        <v>8</v>
      </c>
      <c r="I62" s="43">
        <f t="shared" si="33"/>
        <v>10</v>
      </c>
      <c r="J62" s="43">
        <f t="shared" si="33"/>
        <v>11</v>
      </c>
      <c r="K62" s="43">
        <f t="shared" si="33"/>
        <v>11</v>
      </c>
      <c r="L62" s="43">
        <f t="shared" si="33"/>
        <v>13</v>
      </c>
      <c r="M62" s="43">
        <f t="shared" si="33"/>
        <v>15</v>
      </c>
      <c r="N62" s="43">
        <f t="shared" si="33"/>
        <v>15</v>
      </c>
      <c r="O62" s="43">
        <f t="shared" si="33"/>
        <v>15</v>
      </c>
      <c r="P62" s="43">
        <f t="shared" si="33"/>
        <v>15</v>
      </c>
      <c r="Q62" s="43">
        <f t="shared" si="33"/>
        <v>15</v>
      </c>
      <c r="R62" s="43">
        <f t="shared" si="33"/>
        <v>17</v>
      </c>
      <c r="S62" s="43">
        <f t="shared" si="33"/>
        <v>17</v>
      </c>
      <c r="T62" s="43">
        <f t="shared" si="33"/>
        <v>17</v>
      </c>
      <c r="U62" s="43">
        <f t="shared" si="33"/>
        <v>17</v>
      </c>
      <c r="V62" s="43">
        <f t="shared" si="33"/>
        <v>17</v>
      </c>
      <c r="W62" s="43">
        <f t="shared" si="33"/>
        <v>17</v>
      </c>
      <c r="X62" s="43">
        <f t="shared" si="33"/>
        <v>16</v>
      </c>
      <c r="Y62" s="43">
        <f t="shared" si="33"/>
        <v>16</v>
      </c>
      <c r="Z62" s="43">
        <f t="shared" si="33"/>
        <v>15</v>
      </c>
      <c r="AA62" s="43">
        <f t="shared" si="33"/>
        <v>15</v>
      </c>
      <c r="AB62" s="350">
        <f t="shared" si="33"/>
        <v>14</v>
      </c>
      <c r="AC62" s="43">
        <f t="shared" si="33"/>
        <v>7</v>
      </c>
    </row>
    <row r="63" spans="1:34" s="21" customFormat="1" x14ac:dyDescent="0.2">
      <c r="A63" s="42" t="str">
        <f t="shared" si="30"/>
        <v>&gt; L4 WSO</v>
      </c>
      <c r="B63" s="43">
        <f t="shared" ref="B63:AC63" si="34">ROUNDUP(IF(B$13="Deploy",MAX((B$89/100)*$B103,$B103),(B$89/100)*$B103),0)</f>
        <v>2</v>
      </c>
      <c r="C63" s="43">
        <f t="shared" si="34"/>
        <v>2</v>
      </c>
      <c r="D63" s="43">
        <f t="shared" si="34"/>
        <v>2</v>
      </c>
      <c r="E63" s="43">
        <f t="shared" si="34"/>
        <v>2</v>
      </c>
      <c r="F63" s="43">
        <f t="shared" si="34"/>
        <v>2</v>
      </c>
      <c r="G63" s="43">
        <f t="shared" si="34"/>
        <v>2</v>
      </c>
      <c r="H63" s="43">
        <f t="shared" si="34"/>
        <v>3</v>
      </c>
      <c r="I63" s="43">
        <f t="shared" si="34"/>
        <v>3</v>
      </c>
      <c r="J63" s="43">
        <f t="shared" si="34"/>
        <v>4</v>
      </c>
      <c r="K63" s="43">
        <f t="shared" si="34"/>
        <v>4</v>
      </c>
      <c r="L63" s="43">
        <f t="shared" si="34"/>
        <v>4</v>
      </c>
      <c r="M63" s="43">
        <f t="shared" si="34"/>
        <v>5</v>
      </c>
      <c r="N63" s="43">
        <f t="shared" si="34"/>
        <v>5</v>
      </c>
      <c r="O63" s="43">
        <f t="shared" si="34"/>
        <v>5</v>
      </c>
      <c r="P63" s="43">
        <f t="shared" si="34"/>
        <v>5</v>
      </c>
      <c r="Q63" s="43">
        <f t="shared" si="34"/>
        <v>5</v>
      </c>
      <c r="R63" s="43">
        <f t="shared" si="34"/>
        <v>5</v>
      </c>
      <c r="S63" s="43">
        <f t="shared" si="34"/>
        <v>5</v>
      </c>
      <c r="T63" s="43">
        <f t="shared" si="34"/>
        <v>5</v>
      </c>
      <c r="U63" s="43">
        <f t="shared" si="34"/>
        <v>5</v>
      </c>
      <c r="V63" s="43">
        <f t="shared" si="34"/>
        <v>5</v>
      </c>
      <c r="W63" s="43">
        <f t="shared" si="34"/>
        <v>5</v>
      </c>
      <c r="X63" s="43">
        <f t="shared" si="34"/>
        <v>5</v>
      </c>
      <c r="Y63" s="43">
        <f t="shared" si="34"/>
        <v>5</v>
      </c>
      <c r="Z63" s="43">
        <f t="shared" si="34"/>
        <v>5</v>
      </c>
      <c r="AA63" s="43">
        <f t="shared" si="34"/>
        <v>5</v>
      </c>
      <c r="AB63" s="350">
        <f t="shared" si="34"/>
        <v>5</v>
      </c>
      <c r="AC63" s="43">
        <f t="shared" si="34"/>
        <v>2</v>
      </c>
    </row>
    <row r="64" spans="1:34" s="21" customFormat="1" x14ac:dyDescent="0.2">
      <c r="A64" s="42" t="str">
        <f t="shared" si="30"/>
        <v>&gt; L3 WSO</v>
      </c>
      <c r="B64" s="43">
        <f t="shared" ref="B64:AC64" si="35">ROUNDUP(IF(B$13="Deploy",MAX((B$89/100)*$B104,$B104),(B$89/100)*$B104),0)</f>
        <v>3</v>
      </c>
      <c r="C64" s="43">
        <f t="shared" si="35"/>
        <v>3</v>
      </c>
      <c r="D64" s="43">
        <f t="shared" si="35"/>
        <v>3</v>
      </c>
      <c r="E64" s="43">
        <f t="shared" si="35"/>
        <v>3</v>
      </c>
      <c r="F64" s="43">
        <f t="shared" si="35"/>
        <v>3</v>
      </c>
      <c r="G64" s="43">
        <f t="shared" si="35"/>
        <v>3</v>
      </c>
      <c r="H64" s="43">
        <f t="shared" si="35"/>
        <v>4</v>
      </c>
      <c r="I64" s="43">
        <f t="shared" si="35"/>
        <v>4</v>
      </c>
      <c r="J64" s="43">
        <f t="shared" si="35"/>
        <v>5</v>
      </c>
      <c r="K64" s="43">
        <f t="shared" si="35"/>
        <v>5</v>
      </c>
      <c r="L64" s="43">
        <f t="shared" si="35"/>
        <v>6</v>
      </c>
      <c r="M64" s="43">
        <f t="shared" si="35"/>
        <v>6</v>
      </c>
      <c r="N64" s="43">
        <f t="shared" si="35"/>
        <v>6</v>
      </c>
      <c r="O64" s="43">
        <f t="shared" si="35"/>
        <v>6</v>
      </c>
      <c r="P64" s="43">
        <f t="shared" si="35"/>
        <v>6</v>
      </c>
      <c r="Q64" s="43">
        <f t="shared" si="35"/>
        <v>6</v>
      </c>
      <c r="R64" s="43">
        <f t="shared" si="35"/>
        <v>7</v>
      </c>
      <c r="S64" s="43">
        <f t="shared" si="35"/>
        <v>7</v>
      </c>
      <c r="T64" s="43">
        <f t="shared" si="35"/>
        <v>7</v>
      </c>
      <c r="U64" s="43">
        <f t="shared" si="35"/>
        <v>7</v>
      </c>
      <c r="V64" s="43">
        <f t="shared" si="35"/>
        <v>7</v>
      </c>
      <c r="W64" s="43">
        <f t="shared" si="35"/>
        <v>7</v>
      </c>
      <c r="X64" s="43">
        <f t="shared" si="35"/>
        <v>7</v>
      </c>
      <c r="Y64" s="43">
        <f t="shared" si="35"/>
        <v>7</v>
      </c>
      <c r="Z64" s="43">
        <f t="shared" si="35"/>
        <v>6</v>
      </c>
      <c r="AA64" s="43">
        <f t="shared" si="35"/>
        <v>6</v>
      </c>
      <c r="AB64" s="350">
        <f t="shared" si="35"/>
        <v>6</v>
      </c>
      <c r="AC64" s="43">
        <f t="shared" si="35"/>
        <v>3</v>
      </c>
    </row>
    <row r="65" spans="1:47" x14ac:dyDescent="0.2">
      <c r="A65" s="42" t="str">
        <f t="shared" si="30"/>
        <v>&gt; L2 WSO</v>
      </c>
      <c r="B65" s="43">
        <f t="shared" ref="B65:AC65" si="36">ROUNDUP(IF(B$13="Deploy",MAX((B$89/100)*$B105,$B105),(B$89/100)*$B105),0)</f>
        <v>5</v>
      </c>
      <c r="C65" s="43">
        <f t="shared" si="36"/>
        <v>5</v>
      </c>
      <c r="D65" s="43">
        <f t="shared" si="36"/>
        <v>5</v>
      </c>
      <c r="E65" s="43">
        <f t="shared" si="36"/>
        <v>5</v>
      </c>
      <c r="F65" s="43">
        <f t="shared" si="36"/>
        <v>5</v>
      </c>
      <c r="G65" s="43">
        <f t="shared" si="36"/>
        <v>5</v>
      </c>
      <c r="H65" s="43">
        <f t="shared" si="36"/>
        <v>6</v>
      </c>
      <c r="I65" s="43">
        <f t="shared" si="36"/>
        <v>7</v>
      </c>
      <c r="J65" s="43">
        <f t="shared" si="36"/>
        <v>8</v>
      </c>
      <c r="K65" s="43">
        <f t="shared" si="36"/>
        <v>8</v>
      </c>
      <c r="L65" s="43">
        <f t="shared" si="36"/>
        <v>9</v>
      </c>
      <c r="M65" s="43">
        <f t="shared" si="36"/>
        <v>11</v>
      </c>
      <c r="N65" s="43">
        <f t="shared" si="36"/>
        <v>11</v>
      </c>
      <c r="O65" s="43">
        <f t="shared" si="36"/>
        <v>11</v>
      </c>
      <c r="P65" s="43">
        <f t="shared" si="36"/>
        <v>11</v>
      </c>
      <c r="Q65" s="43">
        <f t="shared" si="36"/>
        <v>11</v>
      </c>
      <c r="R65" s="43">
        <f t="shared" si="36"/>
        <v>12</v>
      </c>
      <c r="S65" s="43">
        <f t="shared" si="36"/>
        <v>12</v>
      </c>
      <c r="T65" s="43">
        <f t="shared" si="36"/>
        <v>12</v>
      </c>
      <c r="U65" s="43">
        <f t="shared" si="36"/>
        <v>12</v>
      </c>
      <c r="V65" s="43">
        <f t="shared" si="36"/>
        <v>12</v>
      </c>
      <c r="W65" s="43">
        <f t="shared" si="36"/>
        <v>12</v>
      </c>
      <c r="X65" s="43">
        <f t="shared" si="36"/>
        <v>12</v>
      </c>
      <c r="Y65" s="43">
        <f t="shared" si="36"/>
        <v>11</v>
      </c>
      <c r="Z65" s="43">
        <f t="shared" si="36"/>
        <v>11</v>
      </c>
      <c r="AA65" s="43">
        <f t="shared" si="36"/>
        <v>11</v>
      </c>
      <c r="AB65" s="350">
        <f t="shared" si="36"/>
        <v>10</v>
      </c>
      <c r="AC65" s="43">
        <f t="shared" si="36"/>
        <v>5</v>
      </c>
    </row>
    <row r="66" spans="1:47" x14ac:dyDescent="0.2">
      <c r="A66" s="42" t="str">
        <f t="shared" si="30"/>
        <v>&gt; L1 WSO</v>
      </c>
      <c r="B66" s="43">
        <f t="shared" ref="B66:AC66" si="37">ROUNDUP(IF(B$13="Deploy",MAX((B$89/100)*$B106,$B106),(B$89/100)*$B106),0)</f>
        <v>7</v>
      </c>
      <c r="C66" s="43">
        <f t="shared" si="37"/>
        <v>7</v>
      </c>
      <c r="D66" s="43">
        <f t="shared" si="37"/>
        <v>7</v>
      </c>
      <c r="E66" s="43">
        <f t="shared" si="37"/>
        <v>7</v>
      </c>
      <c r="F66" s="43">
        <f t="shared" si="37"/>
        <v>7</v>
      </c>
      <c r="G66" s="43">
        <f t="shared" si="37"/>
        <v>7</v>
      </c>
      <c r="H66" s="43">
        <f t="shared" si="37"/>
        <v>8</v>
      </c>
      <c r="I66" s="43">
        <f t="shared" si="37"/>
        <v>10</v>
      </c>
      <c r="J66" s="43">
        <f t="shared" si="37"/>
        <v>11</v>
      </c>
      <c r="K66" s="43">
        <f t="shared" si="37"/>
        <v>11</v>
      </c>
      <c r="L66" s="43">
        <f t="shared" si="37"/>
        <v>13</v>
      </c>
      <c r="M66" s="43">
        <f t="shared" si="37"/>
        <v>15</v>
      </c>
      <c r="N66" s="43">
        <f t="shared" si="37"/>
        <v>15</v>
      </c>
      <c r="O66" s="43">
        <f t="shared" si="37"/>
        <v>15</v>
      </c>
      <c r="P66" s="43">
        <f t="shared" si="37"/>
        <v>15</v>
      </c>
      <c r="Q66" s="43">
        <f t="shared" si="37"/>
        <v>15</v>
      </c>
      <c r="R66" s="43">
        <f t="shared" si="37"/>
        <v>17</v>
      </c>
      <c r="S66" s="43">
        <f t="shared" si="37"/>
        <v>17</v>
      </c>
      <c r="T66" s="43">
        <f t="shared" si="37"/>
        <v>17</v>
      </c>
      <c r="U66" s="43">
        <f t="shared" si="37"/>
        <v>17</v>
      </c>
      <c r="V66" s="43">
        <f t="shared" si="37"/>
        <v>17</v>
      </c>
      <c r="W66" s="43">
        <f t="shared" si="37"/>
        <v>17</v>
      </c>
      <c r="X66" s="43">
        <f t="shared" si="37"/>
        <v>16</v>
      </c>
      <c r="Y66" s="43">
        <f t="shared" si="37"/>
        <v>16</v>
      </c>
      <c r="Z66" s="43">
        <f t="shared" si="37"/>
        <v>15</v>
      </c>
      <c r="AA66" s="43">
        <f t="shared" si="37"/>
        <v>15</v>
      </c>
      <c r="AB66" s="350">
        <f t="shared" si="37"/>
        <v>14</v>
      </c>
      <c r="AC66" s="43">
        <f t="shared" si="37"/>
        <v>7</v>
      </c>
    </row>
    <row r="67" spans="1:47" s="21" customFormat="1" x14ac:dyDescent="0.2">
      <c r="A67" s="42" t="str">
        <f t="shared" si="30"/>
        <v>NVG Qual - Pilot</v>
      </c>
      <c r="B67" s="43">
        <f t="shared" ref="B67:AB67" si="38">ROUNDUP(IF(B$13="Deploy",MAX((B$89/100)*$B107,$B107),(B$89/100)*$B107),0)</f>
        <v>5</v>
      </c>
      <c r="C67" s="43">
        <f t="shared" si="38"/>
        <v>5</v>
      </c>
      <c r="D67" s="43">
        <f t="shared" si="38"/>
        <v>5</v>
      </c>
      <c r="E67" s="43">
        <f t="shared" si="38"/>
        <v>5</v>
      </c>
      <c r="F67" s="43">
        <f t="shared" si="38"/>
        <v>5</v>
      </c>
      <c r="G67" s="43">
        <f t="shared" si="38"/>
        <v>5</v>
      </c>
      <c r="H67" s="43">
        <f t="shared" si="38"/>
        <v>6</v>
      </c>
      <c r="I67" s="43">
        <f t="shared" si="38"/>
        <v>7</v>
      </c>
      <c r="J67" s="43">
        <f t="shared" si="38"/>
        <v>8</v>
      </c>
      <c r="K67" s="43">
        <f t="shared" si="38"/>
        <v>8</v>
      </c>
      <c r="L67" s="43">
        <f t="shared" si="38"/>
        <v>9</v>
      </c>
      <c r="M67" s="43">
        <f t="shared" si="38"/>
        <v>11</v>
      </c>
      <c r="N67" s="43">
        <f t="shared" si="38"/>
        <v>11</v>
      </c>
      <c r="O67" s="43">
        <f t="shared" si="38"/>
        <v>11</v>
      </c>
      <c r="P67" s="43">
        <f t="shared" si="38"/>
        <v>11</v>
      </c>
      <c r="Q67" s="43">
        <f t="shared" si="38"/>
        <v>11</v>
      </c>
      <c r="R67" s="43">
        <f t="shared" si="38"/>
        <v>12</v>
      </c>
      <c r="S67" s="43">
        <f t="shared" si="38"/>
        <v>12</v>
      </c>
      <c r="T67" s="43">
        <f t="shared" si="38"/>
        <v>12</v>
      </c>
      <c r="U67" s="43">
        <f t="shared" si="38"/>
        <v>12</v>
      </c>
      <c r="V67" s="43">
        <f t="shared" si="38"/>
        <v>12</v>
      </c>
      <c r="W67" s="43">
        <f t="shared" si="38"/>
        <v>12</v>
      </c>
      <c r="X67" s="43">
        <f t="shared" si="38"/>
        <v>12</v>
      </c>
      <c r="Y67" s="43">
        <f t="shared" si="38"/>
        <v>11</v>
      </c>
      <c r="Z67" s="43">
        <f t="shared" si="38"/>
        <v>11</v>
      </c>
      <c r="AA67" s="43">
        <f t="shared" si="38"/>
        <v>11</v>
      </c>
      <c r="AB67" s="350">
        <f t="shared" si="38"/>
        <v>10</v>
      </c>
      <c r="AC67" s="43">
        <v>0</v>
      </c>
    </row>
    <row r="68" spans="1:47" s="21" customFormat="1" x14ac:dyDescent="0.2">
      <c r="A68" s="42" t="str">
        <f t="shared" si="30"/>
        <v>NVG Qual - WSO</v>
      </c>
      <c r="B68" s="43">
        <f t="shared" ref="B68:AB68" si="39">ROUNDUP(IF(B$13="Deploy",MAX((B$89/100)*$B108,$B108),(B$89/100)*$B108),0)</f>
        <v>5</v>
      </c>
      <c r="C68" s="43">
        <f t="shared" si="39"/>
        <v>5</v>
      </c>
      <c r="D68" s="43">
        <f t="shared" si="39"/>
        <v>5</v>
      </c>
      <c r="E68" s="43">
        <f t="shared" si="39"/>
        <v>5</v>
      </c>
      <c r="F68" s="43">
        <f t="shared" si="39"/>
        <v>5</v>
      </c>
      <c r="G68" s="43">
        <f t="shared" si="39"/>
        <v>5</v>
      </c>
      <c r="H68" s="43">
        <f t="shared" si="39"/>
        <v>6</v>
      </c>
      <c r="I68" s="43">
        <f t="shared" si="39"/>
        <v>7</v>
      </c>
      <c r="J68" s="43">
        <f t="shared" si="39"/>
        <v>8</v>
      </c>
      <c r="K68" s="43">
        <f t="shared" si="39"/>
        <v>8</v>
      </c>
      <c r="L68" s="43">
        <f t="shared" si="39"/>
        <v>9</v>
      </c>
      <c r="M68" s="43">
        <f t="shared" si="39"/>
        <v>11</v>
      </c>
      <c r="N68" s="43">
        <f t="shared" si="39"/>
        <v>11</v>
      </c>
      <c r="O68" s="43">
        <f t="shared" si="39"/>
        <v>11</v>
      </c>
      <c r="P68" s="43">
        <f t="shared" si="39"/>
        <v>11</v>
      </c>
      <c r="Q68" s="43">
        <f t="shared" si="39"/>
        <v>11</v>
      </c>
      <c r="R68" s="43">
        <f t="shared" si="39"/>
        <v>12</v>
      </c>
      <c r="S68" s="43">
        <f t="shared" si="39"/>
        <v>12</v>
      </c>
      <c r="T68" s="43">
        <f t="shared" si="39"/>
        <v>12</v>
      </c>
      <c r="U68" s="43">
        <f t="shared" si="39"/>
        <v>12</v>
      </c>
      <c r="V68" s="43">
        <f t="shared" si="39"/>
        <v>12</v>
      </c>
      <c r="W68" s="43">
        <f t="shared" si="39"/>
        <v>12</v>
      </c>
      <c r="X68" s="43">
        <f t="shared" si="39"/>
        <v>12</v>
      </c>
      <c r="Y68" s="43">
        <f t="shared" si="39"/>
        <v>11</v>
      </c>
      <c r="Z68" s="43">
        <f t="shared" si="39"/>
        <v>11</v>
      </c>
      <c r="AA68" s="43">
        <f t="shared" si="39"/>
        <v>11</v>
      </c>
      <c r="AB68" s="350">
        <f t="shared" si="39"/>
        <v>10</v>
      </c>
      <c r="AC68" s="43">
        <f>ROUNDUP(IF(AC$13="Deploy",MAX((AC$89/100)*$B108,$B108),(AC$89/100)*$B108),0)</f>
        <v>5</v>
      </c>
    </row>
    <row r="69" spans="1:47" s="21" customFormat="1" x14ac:dyDescent="0.2">
      <c r="A69" s="42" t="str">
        <f t="shared" si="30"/>
        <v>JHMCS Qual - Pilot</v>
      </c>
      <c r="B69" s="43">
        <f t="shared" ref="B69:AB69" si="40">ROUNDUP(IF(B$13="Deploy",MAX((B$89/100)*$B109,$B109),(B$89/100)*$B109),0)</f>
        <v>5</v>
      </c>
      <c r="C69" s="43">
        <f t="shared" si="40"/>
        <v>5</v>
      </c>
      <c r="D69" s="43">
        <f t="shared" si="40"/>
        <v>5</v>
      </c>
      <c r="E69" s="43">
        <f t="shared" si="40"/>
        <v>5</v>
      </c>
      <c r="F69" s="43">
        <f t="shared" si="40"/>
        <v>5</v>
      </c>
      <c r="G69" s="43">
        <f t="shared" si="40"/>
        <v>5</v>
      </c>
      <c r="H69" s="43">
        <f t="shared" si="40"/>
        <v>6</v>
      </c>
      <c r="I69" s="43">
        <f t="shared" si="40"/>
        <v>7</v>
      </c>
      <c r="J69" s="43">
        <f t="shared" si="40"/>
        <v>8</v>
      </c>
      <c r="K69" s="43">
        <f t="shared" si="40"/>
        <v>8</v>
      </c>
      <c r="L69" s="43">
        <f t="shared" si="40"/>
        <v>9</v>
      </c>
      <c r="M69" s="43">
        <f t="shared" si="40"/>
        <v>11</v>
      </c>
      <c r="N69" s="43">
        <f t="shared" si="40"/>
        <v>11</v>
      </c>
      <c r="O69" s="43">
        <f t="shared" si="40"/>
        <v>11</v>
      </c>
      <c r="P69" s="43">
        <f t="shared" si="40"/>
        <v>11</v>
      </c>
      <c r="Q69" s="43">
        <f t="shared" si="40"/>
        <v>11</v>
      </c>
      <c r="R69" s="43">
        <f t="shared" si="40"/>
        <v>12</v>
      </c>
      <c r="S69" s="43">
        <f t="shared" si="40"/>
        <v>12</v>
      </c>
      <c r="T69" s="43">
        <f t="shared" si="40"/>
        <v>12</v>
      </c>
      <c r="U69" s="43">
        <f t="shared" si="40"/>
        <v>12</v>
      </c>
      <c r="V69" s="43">
        <f t="shared" si="40"/>
        <v>12</v>
      </c>
      <c r="W69" s="43">
        <f t="shared" si="40"/>
        <v>12</v>
      </c>
      <c r="X69" s="43">
        <f t="shared" si="40"/>
        <v>12</v>
      </c>
      <c r="Y69" s="43">
        <f t="shared" si="40"/>
        <v>11</v>
      </c>
      <c r="Z69" s="43">
        <f t="shared" si="40"/>
        <v>11</v>
      </c>
      <c r="AA69" s="43">
        <f t="shared" si="40"/>
        <v>11</v>
      </c>
      <c r="AB69" s="350">
        <f t="shared" si="40"/>
        <v>10</v>
      </c>
      <c r="AC69" s="43">
        <f>ROUNDUP(IF(AC$13="Deploy",MAX((AC$89/100)*$B109,$B109),(AC$89/100)*$B109),0)</f>
        <v>5</v>
      </c>
    </row>
    <row r="70" spans="1:47" s="21" customFormat="1" x14ac:dyDescent="0.2">
      <c r="A70" s="42" t="str">
        <f t="shared" si="30"/>
        <v>JMPS SME</v>
      </c>
      <c r="B70" s="43">
        <f t="shared" ref="B70:AB70" si="41">ROUNDUP(IF(B$13="Deploy",MAX((B$89/100)*$B110,$B110),(B$89/100)*$B110),0)</f>
        <v>2</v>
      </c>
      <c r="C70" s="43">
        <f t="shared" si="41"/>
        <v>2</v>
      </c>
      <c r="D70" s="43">
        <f t="shared" si="41"/>
        <v>2</v>
      </c>
      <c r="E70" s="43">
        <f t="shared" si="41"/>
        <v>2</v>
      </c>
      <c r="F70" s="43">
        <f t="shared" si="41"/>
        <v>2</v>
      </c>
      <c r="G70" s="43">
        <f t="shared" si="41"/>
        <v>2</v>
      </c>
      <c r="H70" s="43">
        <f t="shared" si="41"/>
        <v>2</v>
      </c>
      <c r="I70" s="43">
        <f t="shared" si="41"/>
        <v>2</v>
      </c>
      <c r="J70" s="43">
        <f t="shared" si="41"/>
        <v>2</v>
      </c>
      <c r="K70" s="43">
        <f t="shared" si="41"/>
        <v>2</v>
      </c>
      <c r="L70" s="43">
        <f t="shared" si="41"/>
        <v>3</v>
      </c>
      <c r="M70" s="43">
        <f t="shared" si="41"/>
        <v>3</v>
      </c>
      <c r="N70" s="43">
        <f t="shared" si="41"/>
        <v>3</v>
      </c>
      <c r="O70" s="43">
        <f t="shared" si="41"/>
        <v>3</v>
      </c>
      <c r="P70" s="43">
        <f t="shared" si="41"/>
        <v>3</v>
      </c>
      <c r="Q70" s="43">
        <f t="shared" si="41"/>
        <v>3</v>
      </c>
      <c r="R70" s="43">
        <f t="shared" si="41"/>
        <v>3</v>
      </c>
      <c r="S70" s="43">
        <f t="shared" si="41"/>
        <v>3</v>
      </c>
      <c r="T70" s="43">
        <f t="shared" si="41"/>
        <v>3</v>
      </c>
      <c r="U70" s="43">
        <f t="shared" si="41"/>
        <v>3</v>
      </c>
      <c r="V70" s="43">
        <f t="shared" si="41"/>
        <v>3</v>
      </c>
      <c r="W70" s="43">
        <f t="shared" si="41"/>
        <v>3</v>
      </c>
      <c r="X70" s="43">
        <f t="shared" si="41"/>
        <v>3</v>
      </c>
      <c r="Y70" s="43">
        <f t="shared" si="41"/>
        <v>3</v>
      </c>
      <c r="Z70" s="43">
        <f t="shared" si="41"/>
        <v>3</v>
      </c>
      <c r="AA70" s="43">
        <f t="shared" si="41"/>
        <v>3</v>
      </c>
      <c r="AB70" s="350">
        <f t="shared" si="41"/>
        <v>3</v>
      </c>
      <c r="AC70" s="43">
        <v>0</v>
      </c>
    </row>
    <row r="71" spans="1:47" s="21" customFormat="1" x14ac:dyDescent="0.2">
      <c r="A71" s="42" t="str">
        <f t="shared" si="30"/>
        <v xml:space="preserve">CVW STK LEAD </v>
      </c>
      <c r="B71" s="43">
        <f t="shared" ref="B71:AB71" si="42">ROUNDUP(IF(B$13="Deploy",MAX((B$89/100)*$B111,$B111),(B$89/100)*$B111),0)</f>
        <v>2</v>
      </c>
      <c r="C71" s="43">
        <f t="shared" si="42"/>
        <v>2</v>
      </c>
      <c r="D71" s="43">
        <f t="shared" si="42"/>
        <v>2</v>
      </c>
      <c r="E71" s="43">
        <f t="shared" si="42"/>
        <v>2</v>
      </c>
      <c r="F71" s="43">
        <f t="shared" si="42"/>
        <v>2</v>
      </c>
      <c r="G71" s="43">
        <f t="shared" si="42"/>
        <v>2</v>
      </c>
      <c r="H71" s="43">
        <f t="shared" si="42"/>
        <v>2</v>
      </c>
      <c r="I71" s="43">
        <f t="shared" si="42"/>
        <v>2</v>
      </c>
      <c r="J71" s="43">
        <f t="shared" si="42"/>
        <v>2</v>
      </c>
      <c r="K71" s="43">
        <f t="shared" si="42"/>
        <v>2</v>
      </c>
      <c r="L71" s="43">
        <f t="shared" si="42"/>
        <v>3</v>
      </c>
      <c r="M71" s="43">
        <f t="shared" si="42"/>
        <v>3</v>
      </c>
      <c r="N71" s="43">
        <f t="shared" si="42"/>
        <v>3</v>
      </c>
      <c r="O71" s="43">
        <f t="shared" si="42"/>
        <v>3</v>
      </c>
      <c r="P71" s="43">
        <f t="shared" si="42"/>
        <v>3</v>
      </c>
      <c r="Q71" s="43">
        <f t="shared" si="42"/>
        <v>3</v>
      </c>
      <c r="R71" s="43">
        <f t="shared" si="42"/>
        <v>3</v>
      </c>
      <c r="S71" s="43">
        <f t="shared" si="42"/>
        <v>3</v>
      </c>
      <c r="T71" s="43">
        <f t="shared" si="42"/>
        <v>3</v>
      </c>
      <c r="U71" s="43">
        <f t="shared" si="42"/>
        <v>3</v>
      </c>
      <c r="V71" s="43">
        <f t="shared" si="42"/>
        <v>3</v>
      </c>
      <c r="W71" s="43">
        <f t="shared" si="42"/>
        <v>3</v>
      </c>
      <c r="X71" s="43">
        <f t="shared" si="42"/>
        <v>3</v>
      </c>
      <c r="Y71" s="43">
        <f t="shared" si="42"/>
        <v>3</v>
      </c>
      <c r="Z71" s="43">
        <f t="shared" si="42"/>
        <v>3</v>
      </c>
      <c r="AA71" s="43">
        <f t="shared" si="42"/>
        <v>3</v>
      </c>
      <c r="AB71" s="350">
        <f t="shared" si="42"/>
        <v>3</v>
      </c>
      <c r="AC71" s="43">
        <v>0</v>
      </c>
    </row>
    <row r="72" spans="1:47" s="21" customFormat="1" x14ac:dyDescent="0.2">
      <c r="A72" s="42" t="str">
        <f t="shared" si="30"/>
        <v>FAC(A) - Pilot</v>
      </c>
      <c r="B72" s="43">
        <f t="shared" ref="B72:AB72" si="43">ROUNDUP(IF(B$13="Deploy",MAX((B$89/100)*$B112,$B112),(B$89/100)*$B112),0)</f>
        <v>2</v>
      </c>
      <c r="C72" s="43">
        <f t="shared" si="43"/>
        <v>2</v>
      </c>
      <c r="D72" s="43">
        <f t="shared" si="43"/>
        <v>2</v>
      </c>
      <c r="E72" s="43">
        <f t="shared" si="43"/>
        <v>2</v>
      </c>
      <c r="F72" s="43">
        <f t="shared" si="43"/>
        <v>2</v>
      </c>
      <c r="G72" s="43">
        <f t="shared" si="43"/>
        <v>2</v>
      </c>
      <c r="H72" s="43">
        <f t="shared" si="43"/>
        <v>2</v>
      </c>
      <c r="I72" s="43">
        <f t="shared" si="43"/>
        <v>3</v>
      </c>
      <c r="J72" s="43">
        <f t="shared" si="43"/>
        <v>3</v>
      </c>
      <c r="K72" s="43">
        <f t="shared" si="43"/>
        <v>3</v>
      </c>
      <c r="L72" s="43">
        <f t="shared" si="43"/>
        <v>3</v>
      </c>
      <c r="M72" s="43">
        <f t="shared" si="43"/>
        <v>4</v>
      </c>
      <c r="N72" s="43">
        <f t="shared" si="43"/>
        <v>4</v>
      </c>
      <c r="O72" s="43">
        <f t="shared" si="43"/>
        <v>4</v>
      </c>
      <c r="P72" s="43">
        <f t="shared" si="43"/>
        <v>4</v>
      </c>
      <c r="Q72" s="43">
        <f t="shared" si="43"/>
        <v>4</v>
      </c>
      <c r="R72" s="43">
        <f t="shared" si="43"/>
        <v>4</v>
      </c>
      <c r="S72" s="43">
        <f t="shared" si="43"/>
        <v>4</v>
      </c>
      <c r="T72" s="43">
        <f t="shared" si="43"/>
        <v>4</v>
      </c>
      <c r="U72" s="43">
        <f t="shared" si="43"/>
        <v>4</v>
      </c>
      <c r="V72" s="43">
        <f t="shared" si="43"/>
        <v>4</v>
      </c>
      <c r="W72" s="43">
        <f t="shared" si="43"/>
        <v>4</v>
      </c>
      <c r="X72" s="43">
        <f t="shared" si="43"/>
        <v>4</v>
      </c>
      <c r="Y72" s="43">
        <f t="shared" si="43"/>
        <v>4</v>
      </c>
      <c r="Z72" s="43">
        <f t="shared" si="43"/>
        <v>4</v>
      </c>
      <c r="AA72" s="43">
        <f t="shared" si="43"/>
        <v>4</v>
      </c>
      <c r="AB72" s="350">
        <f t="shared" si="43"/>
        <v>4</v>
      </c>
      <c r="AC72" s="43">
        <v>0</v>
      </c>
    </row>
    <row r="73" spans="1:47" s="21" customFormat="1" x14ac:dyDescent="0.2">
      <c r="A73" s="42" t="str">
        <f t="shared" si="30"/>
        <v>FAC(A) - WSO</v>
      </c>
      <c r="B73" s="43">
        <f t="shared" ref="B73:AB73" si="44">ROUNDUP(IF(B$13="Deploy",MAX((B$89/100)*$B113,$B113),(B$89/100)*$B113),0)</f>
        <v>2</v>
      </c>
      <c r="C73" s="43">
        <f t="shared" si="44"/>
        <v>2</v>
      </c>
      <c r="D73" s="43">
        <f t="shared" si="44"/>
        <v>2</v>
      </c>
      <c r="E73" s="43">
        <f t="shared" si="44"/>
        <v>2</v>
      </c>
      <c r="F73" s="43">
        <f t="shared" si="44"/>
        <v>2</v>
      </c>
      <c r="G73" s="43">
        <f t="shared" si="44"/>
        <v>2</v>
      </c>
      <c r="H73" s="43">
        <f t="shared" si="44"/>
        <v>2</v>
      </c>
      <c r="I73" s="43">
        <f t="shared" si="44"/>
        <v>3</v>
      </c>
      <c r="J73" s="43">
        <f t="shared" si="44"/>
        <v>3</v>
      </c>
      <c r="K73" s="43">
        <f t="shared" si="44"/>
        <v>3</v>
      </c>
      <c r="L73" s="43">
        <f t="shared" si="44"/>
        <v>3</v>
      </c>
      <c r="M73" s="43">
        <f t="shared" si="44"/>
        <v>4</v>
      </c>
      <c r="N73" s="43">
        <f t="shared" si="44"/>
        <v>4</v>
      </c>
      <c r="O73" s="43">
        <f t="shared" si="44"/>
        <v>4</v>
      </c>
      <c r="P73" s="43">
        <f t="shared" si="44"/>
        <v>4</v>
      </c>
      <c r="Q73" s="43">
        <f t="shared" si="44"/>
        <v>4</v>
      </c>
      <c r="R73" s="43">
        <f t="shared" si="44"/>
        <v>4</v>
      </c>
      <c r="S73" s="43">
        <f t="shared" si="44"/>
        <v>4</v>
      </c>
      <c r="T73" s="43">
        <f t="shared" si="44"/>
        <v>4</v>
      </c>
      <c r="U73" s="43">
        <f t="shared" si="44"/>
        <v>4</v>
      </c>
      <c r="V73" s="43">
        <f t="shared" si="44"/>
        <v>4</v>
      </c>
      <c r="W73" s="43">
        <f t="shared" si="44"/>
        <v>4</v>
      </c>
      <c r="X73" s="43">
        <f t="shared" si="44"/>
        <v>4</v>
      </c>
      <c r="Y73" s="43">
        <f t="shared" si="44"/>
        <v>4</v>
      </c>
      <c r="Z73" s="43">
        <f t="shared" si="44"/>
        <v>4</v>
      </c>
      <c r="AA73" s="43">
        <f t="shared" si="44"/>
        <v>4</v>
      </c>
      <c r="AB73" s="350">
        <f t="shared" si="44"/>
        <v>4</v>
      </c>
      <c r="AC73" s="43">
        <v>0</v>
      </c>
    </row>
    <row r="74" spans="1:47" s="21" customFormat="1" x14ac:dyDescent="0.2">
      <c r="A74" s="42" t="str">
        <f>A114</f>
        <v>Required Skilled Crews</v>
      </c>
      <c r="B74" s="43">
        <f t="shared" ref="B74:AB74" si="45">ROUNDUP(IF(B$13="Deploy",MAX((B$89/100)*$B114,$B114),(B$89/100)*$B114),0)</f>
        <v>5</v>
      </c>
      <c r="C74" s="43">
        <f t="shared" si="45"/>
        <v>5</v>
      </c>
      <c r="D74" s="43">
        <f t="shared" si="45"/>
        <v>5</v>
      </c>
      <c r="E74" s="43">
        <f t="shared" si="45"/>
        <v>5</v>
      </c>
      <c r="F74" s="43">
        <f t="shared" si="45"/>
        <v>5</v>
      </c>
      <c r="G74" s="43">
        <f t="shared" si="45"/>
        <v>5</v>
      </c>
      <c r="H74" s="43">
        <f t="shared" si="45"/>
        <v>6</v>
      </c>
      <c r="I74" s="43">
        <f t="shared" si="45"/>
        <v>8</v>
      </c>
      <c r="J74" s="43">
        <f t="shared" si="45"/>
        <v>8</v>
      </c>
      <c r="K74" s="43">
        <f t="shared" si="45"/>
        <v>9</v>
      </c>
      <c r="L74" s="43">
        <f t="shared" si="45"/>
        <v>10</v>
      </c>
      <c r="M74" s="43">
        <f t="shared" si="45"/>
        <v>12</v>
      </c>
      <c r="N74" s="43">
        <f t="shared" si="45"/>
        <v>12</v>
      </c>
      <c r="O74" s="43">
        <f t="shared" si="45"/>
        <v>12</v>
      </c>
      <c r="P74" s="43">
        <f t="shared" si="45"/>
        <v>12</v>
      </c>
      <c r="Q74" s="43">
        <f t="shared" si="45"/>
        <v>12</v>
      </c>
      <c r="R74" s="43">
        <f t="shared" si="45"/>
        <v>13</v>
      </c>
      <c r="S74" s="43">
        <f t="shared" si="45"/>
        <v>13</v>
      </c>
      <c r="T74" s="43">
        <f t="shared" si="45"/>
        <v>13</v>
      </c>
      <c r="U74" s="43">
        <f t="shared" si="45"/>
        <v>13</v>
      </c>
      <c r="V74" s="43">
        <f t="shared" si="45"/>
        <v>13</v>
      </c>
      <c r="W74" s="43">
        <f t="shared" si="45"/>
        <v>13</v>
      </c>
      <c r="X74" s="43">
        <f t="shared" si="45"/>
        <v>13</v>
      </c>
      <c r="Y74" s="43">
        <f t="shared" si="45"/>
        <v>12</v>
      </c>
      <c r="Z74" s="43">
        <f t="shared" si="45"/>
        <v>12</v>
      </c>
      <c r="AA74" s="43">
        <f t="shared" si="45"/>
        <v>11</v>
      </c>
      <c r="AB74" s="350">
        <f t="shared" si="45"/>
        <v>11</v>
      </c>
      <c r="AC74" s="43">
        <f>ROUNDUP(IF(AC$13="Deploy",MAX((AC$89/100)*$B114,$B114),(AC$89/100)*$B114),0)</f>
        <v>5</v>
      </c>
    </row>
    <row r="75" spans="1:47" s="256" customFormat="1" ht="12.75" x14ac:dyDescent="0.2">
      <c r="A75" s="226" t="s">
        <v>143</v>
      </c>
      <c r="B75" s="280"/>
      <c r="C75" s="281"/>
      <c r="D75" s="281"/>
      <c r="E75" s="281"/>
      <c r="F75" s="281"/>
      <c r="G75" s="282"/>
      <c r="H75" s="282"/>
      <c r="I75" s="282"/>
      <c r="J75" s="282"/>
      <c r="K75" s="282"/>
      <c r="L75" s="282"/>
      <c r="M75" s="282"/>
      <c r="N75" s="282"/>
      <c r="O75" s="282"/>
      <c r="P75" s="283"/>
      <c r="Q75" s="283"/>
      <c r="R75" s="284"/>
      <c r="S75" s="284"/>
      <c r="T75" s="284"/>
      <c r="U75" s="284"/>
      <c r="V75" s="284"/>
      <c r="W75" s="284"/>
      <c r="X75" s="284"/>
      <c r="Y75" s="284"/>
      <c r="Z75" s="284"/>
      <c r="AA75" s="284"/>
      <c r="AB75" s="284"/>
      <c r="AC75" s="359"/>
      <c r="AD75" s="270"/>
      <c r="AE75" s="270"/>
      <c r="AF75" s="270"/>
      <c r="AG75" s="270"/>
      <c r="AH75" s="270"/>
      <c r="AI75" s="270"/>
      <c r="AJ75" s="270"/>
      <c r="AK75" s="270"/>
      <c r="AL75" s="270"/>
      <c r="AM75" s="270"/>
      <c r="AN75" s="270"/>
      <c r="AO75" s="270"/>
      <c r="AP75" s="270"/>
      <c r="AQ75" s="270"/>
      <c r="AR75" s="270"/>
      <c r="AS75" s="270"/>
      <c r="AT75" s="270"/>
      <c r="AU75" s="270"/>
    </row>
    <row r="76" spans="1:47" s="274" customFormat="1"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c r="O76" s="279">
        <v>0.95</v>
      </c>
      <c r="P76" s="279">
        <v>0.95</v>
      </c>
      <c r="Q76" s="279">
        <v>0.95</v>
      </c>
      <c r="R76" s="279">
        <v>0.95</v>
      </c>
      <c r="S76" s="279">
        <v>0.95</v>
      </c>
      <c r="T76" s="279">
        <v>0.95</v>
      </c>
      <c r="U76" s="279">
        <v>0.95</v>
      </c>
      <c r="V76" s="279">
        <v>0.95</v>
      </c>
      <c r="W76" s="279">
        <v>0.95</v>
      </c>
      <c r="X76" s="279">
        <v>0.95</v>
      </c>
      <c r="Y76" s="279">
        <v>0.95</v>
      </c>
      <c r="Z76" s="279">
        <v>0.95</v>
      </c>
      <c r="AA76" s="279">
        <v>0.95</v>
      </c>
      <c r="AB76" s="353">
        <v>0.95</v>
      </c>
      <c r="AC76" s="275">
        <v>0.95</v>
      </c>
    </row>
    <row r="77" spans="1:47" s="256" customFormat="1"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c r="O77" s="275">
        <v>0.92</v>
      </c>
      <c r="P77" s="275">
        <v>0.92</v>
      </c>
      <c r="Q77" s="275">
        <v>0.92</v>
      </c>
      <c r="R77" s="275">
        <v>0.92</v>
      </c>
      <c r="S77" s="275">
        <v>0.92</v>
      </c>
      <c r="T77" s="275">
        <v>0.92</v>
      </c>
      <c r="U77" s="275">
        <v>0.92</v>
      </c>
      <c r="V77" s="275">
        <v>0.92</v>
      </c>
      <c r="W77" s="275">
        <v>0.92</v>
      </c>
      <c r="X77" s="275">
        <v>0.92</v>
      </c>
      <c r="Y77" s="275">
        <v>0.92</v>
      </c>
      <c r="Z77" s="275">
        <v>0.92</v>
      </c>
      <c r="AA77" s="275">
        <v>0.92</v>
      </c>
      <c r="AB77" s="354">
        <v>0.92</v>
      </c>
      <c r="AC77" s="275">
        <v>0.92</v>
      </c>
      <c r="AD77" s="270"/>
      <c r="AE77" s="270"/>
      <c r="AF77" s="270"/>
      <c r="AG77" s="270"/>
      <c r="AH77" s="270"/>
      <c r="AI77" s="270"/>
      <c r="AJ77" s="270"/>
      <c r="AK77" s="270"/>
      <c r="AL77" s="270"/>
      <c r="AM77" s="270"/>
      <c r="AN77" s="270"/>
      <c r="AO77" s="270"/>
      <c r="AP77" s="270"/>
      <c r="AQ77" s="270"/>
      <c r="AR77" s="270"/>
      <c r="AS77" s="270"/>
      <c r="AT77" s="270"/>
      <c r="AU77" s="270"/>
    </row>
    <row r="78" spans="1:47" s="256" customFormat="1"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c r="O78" s="275">
        <v>0.75</v>
      </c>
      <c r="P78" s="275">
        <v>0.75</v>
      </c>
      <c r="Q78" s="275">
        <v>0.75</v>
      </c>
      <c r="R78" s="275">
        <v>0.75</v>
      </c>
      <c r="S78" s="275">
        <v>0.75</v>
      </c>
      <c r="T78" s="275">
        <v>0.75</v>
      </c>
      <c r="U78" s="275">
        <v>0.75</v>
      </c>
      <c r="V78" s="275">
        <v>0.75</v>
      </c>
      <c r="W78" s="275">
        <v>0.75</v>
      </c>
      <c r="X78" s="275">
        <v>0.75</v>
      </c>
      <c r="Y78" s="275">
        <v>0.75</v>
      </c>
      <c r="Z78" s="275">
        <v>0.75</v>
      </c>
      <c r="AA78" s="275">
        <v>0.75</v>
      </c>
      <c r="AB78" s="354">
        <v>0.75</v>
      </c>
      <c r="AC78" s="275">
        <v>0.75</v>
      </c>
      <c r="AD78" s="270"/>
      <c r="AE78" s="270"/>
      <c r="AF78" s="270"/>
      <c r="AG78" s="270"/>
      <c r="AH78" s="270"/>
      <c r="AI78" s="270"/>
      <c r="AJ78" s="270"/>
      <c r="AK78" s="270"/>
      <c r="AL78" s="270"/>
      <c r="AM78" s="270"/>
      <c r="AN78" s="270"/>
      <c r="AO78" s="270"/>
      <c r="AP78" s="270"/>
      <c r="AQ78" s="270"/>
      <c r="AR78" s="270"/>
      <c r="AS78" s="270"/>
      <c r="AT78" s="270"/>
      <c r="AU78" s="270"/>
    </row>
    <row r="79" spans="1:47" x14ac:dyDescent="0.2">
      <c r="A79" s="14"/>
      <c r="AC79" s="21"/>
    </row>
    <row r="80" spans="1:47" x14ac:dyDescent="0.2">
      <c r="A80" s="14"/>
      <c r="B80" s="30"/>
      <c r="C80" s="30"/>
      <c r="AC80" s="21"/>
      <c r="AD80" s="21"/>
      <c r="AE80" s="21"/>
      <c r="AH80" s="21"/>
      <c r="AI80" s="21"/>
      <c r="AJ80" s="21"/>
      <c r="AK80" s="21"/>
      <c r="AL80" s="21"/>
      <c r="AM80" s="21"/>
      <c r="AN80" s="21"/>
      <c r="AO80" s="21"/>
      <c r="AP80" s="21"/>
      <c r="AQ80" s="21"/>
      <c r="AR80" s="21"/>
    </row>
    <row r="81" spans="1:36" x14ac:dyDescent="0.2">
      <c r="B81" s="30"/>
      <c r="C81" s="30"/>
    </row>
    <row r="82" spans="1:36" ht="12.75" thickBot="1" x14ac:dyDescent="0.25">
      <c r="B82" s="102"/>
      <c r="C82" s="4"/>
      <c r="AI82" s="97"/>
      <c r="AJ82" s="97"/>
    </row>
    <row r="83" spans="1:36" s="97" customFormat="1" ht="13.5" thickBot="1" x14ac:dyDescent="0.25">
      <c r="A83" s="433" t="s">
        <v>147</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5"/>
    </row>
    <row r="84" spans="1:36" x14ac:dyDescent="0.2">
      <c r="A84" s="44" t="s">
        <v>148</v>
      </c>
      <c r="B84" s="45">
        <f t="shared" ref="B84:AC84" si="46">MIN(100,B86+$B$90)</f>
        <v>45.901136923127005</v>
      </c>
      <c r="C84" s="45">
        <f t="shared" si="46"/>
        <v>45.901136923127005</v>
      </c>
      <c r="D84" s="45">
        <f t="shared" si="46"/>
        <v>45.901136923127005</v>
      </c>
      <c r="E84" s="45">
        <f t="shared" si="46"/>
        <v>45.901136923127005</v>
      </c>
      <c r="F84" s="45">
        <f t="shared" si="46"/>
        <v>45.901136923127005</v>
      </c>
      <c r="G84" s="45">
        <f t="shared" si="46"/>
        <v>53.901136923127005</v>
      </c>
      <c r="H84" s="45">
        <f t="shared" si="46"/>
        <v>55.901136923127005</v>
      </c>
      <c r="I84" s="45">
        <f t="shared" si="46"/>
        <v>55.901136923127005</v>
      </c>
      <c r="J84" s="45">
        <f t="shared" si="46"/>
        <v>65.901136923127012</v>
      </c>
      <c r="K84" s="45">
        <f t="shared" si="46"/>
        <v>90.901136923127012</v>
      </c>
      <c r="L84" s="45">
        <f t="shared" si="46"/>
        <v>100</v>
      </c>
      <c r="M84" s="45">
        <f t="shared" si="46"/>
        <v>100</v>
      </c>
      <c r="N84" s="45">
        <f t="shared" si="46"/>
        <v>100</v>
      </c>
      <c r="O84" s="45">
        <f t="shared" si="46"/>
        <v>100</v>
      </c>
      <c r="P84" s="45">
        <f t="shared" si="46"/>
        <v>100</v>
      </c>
      <c r="Q84" s="45">
        <f t="shared" si="46"/>
        <v>100</v>
      </c>
      <c r="R84" s="45">
        <f t="shared" si="46"/>
        <v>100</v>
      </c>
      <c r="S84" s="45">
        <f t="shared" si="46"/>
        <v>100</v>
      </c>
      <c r="T84" s="45">
        <f t="shared" si="46"/>
        <v>100</v>
      </c>
      <c r="U84" s="45">
        <f t="shared" si="46"/>
        <v>100</v>
      </c>
      <c r="V84" s="45">
        <f t="shared" si="46"/>
        <v>100</v>
      </c>
      <c r="W84" s="45">
        <f t="shared" si="46"/>
        <v>100</v>
      </c>
      <c r="X84" s="45">
        <f t="shared" si="46"/>
        <v>100</v>
      </c>
      <c r="Y84" s="45">
        <f t="shared" si="46"/>
        <v>100</v>
      </c>
      <c r="Z84" s="45">
        <f t="shared" si="46"/>
        <v>100</v>
      </c>
      <c r="AA84" s="45">
        <f t="shared" si="46"/>
        <v>100</v>
      </c>
      <c r="AB84" s="46">
        <f t="shared" si="46"/>
        <v>100</v>
      </c>
      <c r="AC84" s="124">
        <f t="shared" si="46"/>
        <v>45.901136923127005</v>
      </c>
      <c r="AI84" s="97"/>
      <c r="AJ84" s="97"/>
    </row>
    <row r="85" spans="1:36" x14ac:dyDescent="0.2">
      <c r="A85" s="44" t="s">
        <v>149</v>
      </c>
      <c r="B85" s="45">
        <f t="shared" ref="B85:AC85" si="47">MIN(100,B86+$B$91)</f>
        <v>27.950568461563503</v>
      </c>
      <c r="C85" s="45">
        <f t="shared" si="47"/>
        <v>27.950568461563503</v>
      </c>
      <c r="D85" s="45">
        <f t="shared" si="47"/>
        <v>27.950568461563503</v>
      </c>
      <c r="E85" s="45">
        <f t="shared" si="47"/>
        <v>27.950568461563503</v>
      </c>
      <c r="F85" s="45">
        <f t="shared" si="47"/>
        <v>27.950568461563503</v>
      </c>
      <c r="G85" s="45">
        <f t="shared" si="47"/>
        <v>35.950568461563506</v>
      </c>
      <c r="H85" s="45">
        <f t="shared" si="47"/>
        <v>37.950568461563506</v>
      </c>
      <c r="I85" s="45">
        <f t="shared" si="47"/>
        <v>37.950568461563506</v>
      </c>
      <c r="J85" s="45">
        <f t="shared" si="47"/>
        <v>47.950568461563506</v>
      </c>
      <c r="K85" s="45">
        <f t="shared" si="47"/>
        <v>72.950568461563506</v>
      </c>
      <c r="L85" s="45">
        <f t="shared" si="47"/>
        <v>97.950568461563506</v>
      </c>
      <c r="M85" s="45">
        <f t="shared" si="47"/>
        <v>100</v>
      </c>
      <c r="N85" s="45">
        <f t="shared" si="47"/>
        <v>100</v>
      </c>
      <c r="O85" s="45">
        <f t="shared" si="47"/>
        <v>100</v>
      </c>
      <c r="P85" s="45">
        <f t="shared" si="47"/>
        <v>100</v>
      </c>
      <c r="Q85" s="45">
        <f t="shared" si="47"/>
        <v>100</v>
      </c>
      <c r="R85" s="45">
        <f t="shared" si="47"/>
        <v>100</v>
      </c>
      <c r="S85" s="45">
        <f t="shared" si="47"/>
        <v>100</v>
      </c>
      <c r="T85" s="45">
        <f t="shared" si="47"/>
        <v>100</v>
      </c>
      <c r="U85" s="45">
        <f t="shared" si="47"/>
        <v>100</v>
      </c>
      <c r="V85" s="45">
        <f t="shared" si="47"/>
        <v>100</v>
      </c>
      <c r="W85" s="45">
        <f t="shared" si="47"/>
        <v>100</v>
      </c>
      <c r="X85" s="45">
        <f t="shared" si="47"/>
        <v>100</v>
      </c>
      <c r="Y85" s="45">
        <f t="shared" si="47"/>
        <v>100</v>
      </c>
      <c r="Z85" s="45">
        <f t="shared" si="47"/>
        <v>100</v>
      </c>
      <c r="AA85" s="45">
        <f t="shared" si="47"/>
        <v>100</v>
      </c>
      <c r="AB85" s="46">
        <f t="shared" si="47"/>
        <v>98.950568461563506</v>
      </c>
      <c r="AC85" s="125">
        <f t="shared" si="47"/>
        <v>27.950568461563503</v>
      </c>
      <c r="AD85" s="21"/>
      <c r="AE85" s="21"/>
      <c r="AF85" s="22"/>
      <c r="AG85" s="12"/>
      <c r="AH85" s="23"/>
      <c r="AI85" s="97"/>
      <c r="AJ85" s="97"/>
    </row>
    <row r="86" spans="1:36" x14ac:dyDescent="0.2">
      <c r="A86" s="44" t="s">
        <v>150</v>
      </c>
      <c r="B86" s="103">
        <v>10</v>
      </c>
      <c r="C86" s="103">
        <v>10</v>
      </c>
      <c r="D86" s="103">
        <v>10</v>
      </c>
      <c r="E86" s="103">
        <v>10</v>
      </c>
      <c r="F86" s="103">
        <v>10</v>
      </c>
      <c r="G86" s="103">
        <v>18</v>
      </c>
      <c r="H86" s="103">
        <v>20</v>
      </c>
      <c r="I86" s="103">
        <v>20</v>
      </c>
      <c r="J86" s="103">
        <v>30</v>
      </c>
      <c r="K86" s="103">
        <v>55</v>
      </c>
      <c r="L86" s="103">
        <v>80</v>
      </c>
      <c r="M86" s="103">
        <v>85</v>
      </c>
      <c r="N86" s="103">
        <v>85</v>
      </c>
      <c r="O86" s="103">
        <v>85</v>
      </c>
      <c r="P86" s="103">
        <v>85</v>
      </c>
      <c r="Q86" s="103">
        <v>85</v>
      </c>
      <c r="R86" s="103">
        <v>100</v>
      </c>
      <c r="S86" s="103">
        <v>100</v>
      </c>
      <c r="T86" s="103">
        <v>100</v>
      </c>
      <c r="U86" s="103">
        <v>100</v>
      </c>
      <c r="V86" s="103">
        <v>100</v>
      </c>
      <c r="W86" s="103">
        <v>100</v>
      </c>
      <c r="X86" s="103">
        <v>94</v>
      </c>
      <c r="Y86" s="103">
        <v>91</v>
      </c>
      <c r="Z86" s="103">
        <v>85</v>
      </c>
      <c r="AA86" s="103">
        <v>84</v>
      </c>
      <c r="AB86" s="104">
        <v>81</v>
      </c>
      <c r="AC86" s="126">
        <v>10</v>
      </c>
      <c r="AD86" s="21"/>
      <c r="AE86" s="21"/>
      <c r="AF86" s="22"/>
      <c r="AG86" s="12"/>
      <c r="AH86" s="23"/>
      <c r="AI86" s="97"/>
      <c r="AJ86" s="97"/>
    </row>
    <row r="87" spans="1:36" x14ac:dyDescent="0.2">
      <c r="A87" s="44" t="s">
        <v>151</v>
      </c>
      <c r="B87" s="45">
        <f t="shared" ref="B87:AB87" si="48">MIN(80,IF(AND(B15&gt;=11,B15&lt;23),80,MAX(0,B86-$B$91)))</f>
        <v>0</v>
      </c>
      <c r="C87" s="45">
        <f t="shared" si="48"/>
        <v>0</v>
      </c>
      <c r="D87" s="45">
        <f t="shared" si="48"/>
        <v>0</v>
      </c>
      <c r="E87" s="45">
        <f t="shared" si="48"/>
        <v>0</v>
      </c>
      <c r="F87" s="45">
        <f t="shared" si="48"/>
        <v>0</v>
      </c>
      <c r="G87" s="45">
        <f t="shared" si="48"/>
        <v>4.9431538436497391E-2</v>
      </c>
      <c r="H87" s="45">
        <f t="shared" si="48"/>
        <v>2.0494315384364974</v>
      </c>
      <c r="I87" s="45">
        <f t="shared" si="48"/>
        <v>2.0494315384364974</v>
      </c>
      <c r="J87" s="45">
        <f t="shared" si="48"/>
        <v>12.049431538436497</v>
      </c>
      <c r="K87" s="45">
        <f t="shared" si="48"/>
        <v>37.049431538436494</v>
      </c>
      <c r="L87" s="45">
        <f t="shared" si="48"/>
        <v>80</v>
      </c>
      <c r="M87" s="45">
        <f t="shared" si="48"/>
        <v>80</v>
      </c>
      <c r="N87" s="45">
        <f t="shared" si="48"/>
        <v>80</v>
      </c>
      <c r="O87" s="45">
        <f t="shared" si="48"/>
        <v>80</v>
      </c>
      <c r="P87" s="45">
        <f t="shared" si="48"/>
        <v>80</v>
      </c>
      <c r="Q87" s="45">
        <f t="shared" si="48"/>
        <v>80</v>
      </c>
      <c r="R87" s="45">
        <f t="shared" si="48"/>
        <v>80</v>
      </c>
      <c r="S87" s="45">
        <f t="shared" si="48"/>
        <v>80</v>
      </c>
      <c r="T87" s="45">
        <f t="shared" si="48"/>
        <v>80</v>
      </c>
      <c r="U87" s="45">
        <f t="shared" si="48"/>
        <v>80</v>
      </c>
      <c r="V87" s="45">
        <f t="shared" si="48"/>
        <v>80</v>
      </c>
      <c r="W87" s="45">
        <f t="shared" si="48"/>
        <v>80</v>
      </c>
      <c r="X87" s="45">
        <f t="shared" si="48"/>
        <v>76.049431538436494</v>
      </c>
      <c r="Y87" s="45">
        <f t="shared" si="48"/>
        <v>73.049431538436494</v>
      </c>
      <c r="Z87" s="45">
        <f t="shared" si="48"/>
        <v>67.049431538436494</v>
      </c>
      <c r="AA87" s="45">
        <f t="shared" si="48"/>
        <v>66.049431538436494</v>
      </c>
      <c r="AB87" s="45">
        <f t="shared" si="48"/>
        <v>63.049431538436494</v>
      </c>
      <c r="AC87" s="125">
        <f>MIN(80,IF(AC13="Deploy",80,MAX(0,AC86-$B$91)))</f>
        <v>0</v>
      </c>
      <c r="AD87" s="21"/>
      <c r="AE87" s="21"/>
      <c r="AF87" s="22"/>
      <c r="AG87" s="12"/>
      <c r="AH87" s="23"/>
      <c r="AI87" s="97"/>
      <c r="AJ87" s="97"/>
    </row>
    <row r="88" spans="1:36" ht="12.75" thickBot="1" x14ac:dyDescent="0.25">
      <c r="A88" s="47" t="s">
        <v>152</v>
      </c>
      <c r="B88" s="48">
        <f t="shared" ref="B88:AC88" si="49">MIN(60,IF(B14="Deploy",60,MAX(0,B86-$B$90)))</f>
        <v>0</v>
      </c>
      <c r="C88" s="48">
        <f t="shared" si="49"/>
        <v>0</v>
      </c>
      <c r="D88" s="48">
        <f t="shared" si="49"/>
        <v>0</v>
      </c>
      <c r="E88" s="48">
        <f t="shared" si="49"/>
        <v>0</v>
      </c>
      <c r="F88" s="48">
        <f t="shared" si="49"/>
        <v>0</v>
      </c>
      <c r="G88" s="48">
        <f t="shared" si="49"/>
        <v>0</v>
      </c>
      <c r="H88" s="48">
        <f t="shared" si="49"/>
        <v>0</v>
      </c>
      <c r="I88" s="48">
        <f t="shared" si="49"/>
        <v>0</v>
      </c>
      <c r="J88" s="48">
        <f t="shared" si="49"/>
        <v>0</v>
      </c>
      <c r="K88" s="48">
        <f t="shared" si="49"/>
        <v>19.098863076872995</v>
      </c>
      <c r="L88" s="48">
        <f t="shared" si="49"/>
        <v>44.098863076872995</v>
      </c>
      <c r="M88" s="48">
        <f t="shared" si="49"/>
        <v>49.098863076872995</v>
      </c>
      <c r="N88" s="48">
        <f t="shared" si="49"/>
        <v>49.098863076872995</v>
      </c>
      <c r="O88" s="48">
        <f t="shared" si="49"/>
        <v>49.098863076872995</v>
      </c>
      <c r="P88" s="48">
        <f t="shared" si="49"/>
        <v>49.098863076872995</v>
      </c>
      <c r="Q88" s="48">
        <f t="shared" si="49"/>
        <v>49.098863076872995</v>
      </c>
      <c r="R88" s="48">
        <f t="shared" si="49"/>
        <v>60</v>
      </c>
      <c r="S88" s="48">
        <f t="shared" si="49"/>
        <v>60</v>
      </c>
      <c r="T88" s="48">
        <f t="shared" si="49"/>
        <v>60</v>
      </c>
      <c r="U88" s="48">
        <f t="shared" si="49"/>
        <v>60</v>
      </c>
      <c r="V88" s="48">
        <f t="shared" si="49"/>
        <v>60</v>
      </c>
      <c r="W88" s="48">
        <f t="shared" si="49"/>
        <v>60</v>
      </c>
      <c r="X88" s="48">
        <f t="shared" si="49"/>
        <v>58.098863076872995</v>
      </c>
      <c r="Y88" s="48">
        <f t="shared" si="49"/>
        <v>55.098863076872995</v>
      </c>
      <c r="Z88" s="48">
        <f t="shared" si="49"/>
        <v>49.098863076872995</v>
      </c>
      <c r="AA88" s="48">
        <f t="shared" si="49"/>
        <v>48.098863076872995</v>
      </c>
      <c r="AB88" s="49">
        <f t="shared" si="49"/>
        <v>45.098863076872995</v>
      </c>
      <c r="AC88" s="127">
        <f t="shared" si="49"/>
        <v>0</v>
      </c>
      <c r="AD88" s="21"/>
      <c r="AE88" s="21"/>
      <c r="AF88" s="22"/>
      <c r="AG88" s="12"/>
      <c r="AH88" s="23"/>
      <c r="AI88" s="97"/>
      <c r="AJ88" s="97"/>
    </row>
    <row r="89" spans="1:36" ht="12.75" thickBot="1" x14ac:dyDescent="0.25">
      <c r="A89" s="152" t="s">
        <v>153</v>
      </c>
      <c r="B89" s="153">
        <v>37</v>
      </c>
      <c r="C89" s="153">
        <v>37</v>
      </c>
      <c r="D89" s="153">
        <v>37</v>
      </c>
      <c r="E89" s="153">
        <v>37</v>
      </c>
      <c r="F89" s="153">
        <v>37</v>
      </c>
      <c r="G89" s="153">
        <v>37</v>
      </c>
      <c r="H89" s="153">
        <v>46</v>
      </c>
      <c r="I89" s="153">
        <v>54</v>
      </c>
      <c r="J89" s="153">
        <v>61</v>
      </c>
      <c r="K89" s="153">
        <v>63</v>
      </c>
      <c r="L89" s="153">
        <v>75</v>
      </c>
      <c r="M89" s="153">
        <v>85</v>
      </c>
      <c r="N89" s="153">
        <v>85</v>
      </c>
      <c r="O89" s="153">
        <v>85</v>
      </c>
      <c r="P89" s="153">
        <v>85</v>
      </c>
      <c r="Q89" s="153">
        <v>85</v>
      </c>
      <c r="R89" s="153">
        <v>100</v>
      </c>
      <c r="S89" s="153">
        <v>100</v>
      </c>
      <c r="T89" s="153">
        <v>100</v>
      </c>
      <c r="U89" s="153">
        <v>100</v>
      </c>
      <c r="V89" s="153">
        <v>100</v>
      </c>
      <c r="W89" s="153">
        <v>100</v>
      </c>
      <c r="X89" s="153">
        <v>94</v>
      </c>
      <c r="Y89" s="153">
        <v>91</v>
      </c>
      <c r="Z89" s="153">
        <v>85</v>
      </c>
      <c r="AA89" s="153">
        <v>84</v>
      </c>
      <c r="AB89" s="154">
        <v>81</v>
      </c>
      <c r="AC89" s="155">
        <v>37</v>
      </c>
      <c r="AD89" s="156"/>
      <c r="AE89" s="156"/>
    </row>
    <row r="90" spans="1:36" x14ac:dyDescent="0.2">
      <c r="A90" s="105" t="s">
        <v>154</v>
      </c>
      <c r="B90" s="106">
        <f t="array" ref="B90">SQRT(SUM(POWER(AVERAGE(B86:AB86)-(B86:AB86),2))/COUNT(B86:AB86))*1</f>
        <v>35.901136923127005</v>
      </c>
      <c r="AC90" s="22"/>
      <c r="AD90" s="21"/>
      <c r="AE90" s="21"/>
      <c r="AF90" s="22"/>
      <c r="AG90" s="12"/>
      <c r="AH90" s="23"/>
      <c r="AI90" s="97"/>
      <c r="AJ90" s="97"/>
    </row>
    <row r="91" spans="1:36" ht="12.75" thickBot="1" x14ac:dyDescent="0.25">
      <c r="A91" s="107" t="s">
        <v>155</v>
      </c>
      <c r="B91" s="108">
        <f>B90/2</f>
        <v>17.950568461563503</v>
      </c>
      <c r="AI91" s="97"/>
      <c r="AJ91" s="97"/>
    </row>
    <row r="92" spans="1:36" ht="12.75" thickBo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I92" s="97"/>
      <c r="AJ92" s="97"/>
    </row>
    <row r="93" spans="1:36" s="97" customFormat="1" ht="13.5" thickBot="1" x14ac:dyDescent="0.25">
      <c r="A93" s="431" t="s">
        <v>156</v>
      </c>
      <c r="B93" s="432"/>
    </row>
    <row r="94" spans="1:36" s="97" customFormat="1" ht="12.75" thickBot="1" x14ac:dyDescent="0.25">
      <c r="A94" s="439" t="s">
        <v>157</v>
      </c>
      <c r="B94" s="440"/>
    </row>
    <row r="95" spans="1:36" ht="12.75" thickTop="1" x14ac:dyDescent="0.2">
      <c r="A95" s="75" t="s">
        <v>139</v>
      </c>
      <c r="B95" s="77">
        <v>17</v>
      </c>
      <c r="K95" s="74"/>
      <c r="AI95" s="97"/>
      <c r="AJ95" s="97"/>
    </row>
    <row r="96" spans="1:36" x14ac:dyDescent="0.2">
      <c r="A96" s="50" t="s">
        <v>140</v>
      </c>
      <c r="B96" s="51">
        <v>17</v>
      </c>
      <c r="K96" s="74"/>
      <c r="AI96" s="97"/>
      <c r="AJ96" s="97"/>
    </row>
    <row r="97" spans="1:36" x14ac:dyDescent="0.2">
      <c r="A97" s="75" t="s">
        <v>141</v>
      </c>
      <c r="B97" s="77">
        <v>17</v>
      </c>
      <c r="E97" s="73"/>
      <c r="F97" s="21"/>
      <c r="K97" s="74"/>
      <c r="AI97" s="97"/>
      <c r="AJ97" s="97"/>
    </row>
    <row r="98" spans="1:36" x14ac:dyDescent="0.2">
      <c r="A98" s="50" t="s">
        <v>142</v>
      </c>
      <c r="B98" s="51">
        <v>17</v>
      </c>
      <c r="E98" s="74"/>
      <c r="K98" s="74"/>
      <c r="AI98" s="97"/>
      <c r="AJ98" s="97"/>
    </row>
    <row r="99" spans="1:36" x14ac:dyDescent="0.2">
      <c r="A99" s="50" t="s">
        <v>158</v>
      </c>
      <c r="B99" s="52">
        <v>5</v>
      </c>
      <c r="E99" s="74"/>
      <c r="K99" s="74"/>
      <c r="AI99" s="97"/>
      <c r="AJ99" s="97"/>
    </row>
    <row r="100" spans="1:36" x14ac:dyDescent="0.2">
      <c r="A100" s="50" t="s">
        <v>159</v>
      </c>
      <c r="B100" s="52">
        <v>7</v>
      </c>
      <c r="E100" s="73"/>
      <c r="F100" s="21"/>
      <c r="K100" s="74"/>
      <c r="AI100" s="97"/>
      <c r="AJ100" s="97"/>
    </row>
    <row r="101" spans="1:36" x14ac:dyDescent="0.2">
      <c r="A101" s="50" t="s">
        <v>160</v>
      </c>
      <c r="B101" s="52">
        <v>12</v>
      </c>
      <c r="E101" s="74"/>
      <c r="K101" s="74"/>
      <c r="AI101" s="97"/>
      <c r="AJ101" s="97"/>
    </row>
    <row r="102" spans="1:36" x14ac:dyDescent="0.2">
      <c r="A102" s="50" t="s">
        <v>161</v>
      </c>
      <c r="B102" s="51">
        <v>17</v>
      </c>
      <c r="E102" s="74"/>
      <c r="J102" s="97"/>
      <c r="K102" s="131"/>
      <c r="L102" s="97"/>
      <c r="AI102" s="97"/>
      <c r="AJ102" s="97"/>
    </row>
    <row r="103" spans="1:36" x14ac:dyDescent="0.2">
      <c r="A103" s="50" t="s">
        <v>162</v>
      </c>
      <c r="B103" s="52">
        <v>5</v>
      </c>
      <c r="E103" s="74"/>
      <c r="K103" s="74"/>
      <c r="AI103" s="97"/>
      <c r="AJ103" s="97"/>
    </row>
    <row r="104" spans="1:36" s="97" customFormat="1" x14ac:dyDescent="0.2">
      <c r="A104" s="50" t="s">
        <v>163</v>
      </c>
      <c r="B104" s="55">
        <v>7</v>
      </c>
      <c r="E104" s="73"/>
      <c r="F104" s="21"/>
      <c r="K104" s="74"/>
      <c r="L104" s="15"/>
      <c r="AB104" s="109"/>
      <c r="AC104" s="15"/>
      <c r="AD104" s="4"/>
    </row>
    <row r="105" spans="1:36" x14ac:dyDescent="0.2">
      <c r="A105" s="50" t="s">
        <v>164</v>
      </c>
      <c r="B105" s="55">
        <v>12</v>
      </c>
      <c r="E105" s="74"/>
      <c r="K105" s="74"/>
      <c r="AI105" s="97"/>
      <c r="AJ105" s="97"/>
    </row>
    <row r="106" spans="1:36" x14ac:dyDescent="0.2">
      <c r="A106" s="50" t="s">
        <v>165</v>
      </c>
      <c r="B106" s="128">
        <v>17</v>
      </c>
      <c r="D106" s="97"/>
      <c r="E106" s="74"/>
      <c r="K106" s="74"/>
      <c r="AC106" s="4"/>
    </row>
    <row r="107" spans="1:36" x14ac:dyDescent="0.2">
      <c r="A107" s="50" t="s">
        <v>166</v>
      </c>
      <c r="B107" s="128">
        <v>12</v>
      </c>
      <c r="E107" s="73"/>
      <c r="F107" s="21"/>
      <c r="AI107" s="97"/>
      <c r="AJ107" s="97"/>
    </row>
    <row r="108" spans="1:36" x14ac:dyDescent="0.2">
      <c r="A108" s="50" t="s">
        <v>167</v>
      </c>
      <c r="B108" s="128">
        <v>12</v>
      </c>
      <c r="E108" s="73"/>
      <c r="F108" s="21"/>
      <c r="AI108" s="97"/>
      <c r="AJ108" s="97"/>
    </row>
    <row r="109" spans="1:36" x14ac:dyDescent="0.2">
      <c r="A109" s="50" t="s">
        <v>168</v>
      </c>
      <c r="B109" s="55">
        <v>12</v>
      </c>
      <c r="E109" s="73"/>
      <c r="F109" s="21"/>
      <c r="AI109" s="97"/>
      <c r="AJ109" s="97"/>
    </row>
    <row r="110" spans="1:36" x14ac:dyDescent="0.2">
      <c r="A110" s="50" t="s">
        <v>169</v>
      </c>
      <c r="B110" s="55">
        <v>3</v>
      </c>
      <c r="E110" s="74"/>
      <c r="AI110" s="97"/>
      <c r="AJ110" s="97"/>
    </row>
    <row r="111" spans="1:36" x14ac:dyDescent="0.2">
      <c r="A111" s="50" t="s">
        <v>170</v>
      </c>
      <c r="B111" s="55">
        <v>3</v>
      </c>
      <c r="E111" s="74"/>
      <c r="AI111" s="97"/>
      <c r="AJ111" s="97"/>
    </row>
    <row r="112" spans="1:36" x14ac:dyDescent="0.2">
      <c r="A112" s="50" t="s">
        <v>171</v>
      </c>
      <c r="B112" s="55">
        <v>4</v>
      </c>
      <c r="E112" s="74"/>
      <c r="F112" s="97"/>
      <c r="AI112" s="97"/>
      <c r="AJ112" s="97"/>
    </row>
    <row r="113" spans="1:38" x14ac:dyDescent="0.2">
      <c r="A113" s="50" t="s">
        <v>172</v>
      </c>
      <c r="B113" s="76">
        <v>4</v>
      </c>
      <c r="E113" s="74"/>
      <c r="F113" s="97"/>
      <c r="AI113" s="97"/>
      <c r="AJ113" s="97"/>
    </row>
    <row r="114" spans="1:38" ht="12.75" thickBot="1" x14ac:dyDescent="0.25">
      <c r="A114" s="53" t="s">
        <v>173</v>
      </c>
      <c r="B114" s="54">
        <v>13</v>
      </c>
      <c r="AI114" s="97"/>
      <c r="AJ114" s="97"/>
    </row>
    <row r="115" spans="1:38" ht="12.75" thickBot="1" x14ac:dyDescent="0.25"/>
    <row r="116" spans="1:38" ht="13.5" thickBot="1" x14ac:dyDescent="0.25">
      <c r="A116" s="431" t="s">
        <v>174</v>
      </c>
      <c r="B116" s="432"/>
      <c r="AK116" s="97"/>
      <c r="AL116" s="97"/>
    </row>
    <row r="117" spans="1:38" x14ac:dyDescent="0.2">
      <c r="A117" s="116" t="s">
        <v>175</v>
      </c>
      <c r="B117" s="117" t="s">
        <v>176</v>
      </c>
      <c r="C117" s="117" t="s">
        <v>176</v>
      </c>
      <c r="D117" s="117" t="s">
        <v>176</v>
      </c>
      <c r="E117" s="117"/>
      <c r="F117" s="117" t="s">
        <v>176</v>
      </c>
      <c r="G117" s="117" t="s">
        <v>176</v>
      </c>
      <c r="H117" s="117" t="s">
        <v>176</v>
      </c>
      <c r="I117" s="117" t="s">
        <v>176</v>
      </c>
      <c r="J117" s="117"/>
      <c r="K117" s="117"/>
      <c r="L117" s="117"/>
      <c r="M117" s="117"/>
      <c r="N117" s="117" t="s">
        <v>176</v>
      </c>
      <c r="O117" s="117" t="s">
        <v>176</v>
      </c>
      <c r="P117" s="117"/>
      <c r="Q117" s="117"/>
      <c r="R117" s="117"/>
      <c r="S117" s="117"/>
      <c r="T117" s="117"/>
      <c r="U117" s="117"/>
      <c r="V117" s="117"/>
      <c r="W117" s="117"/>
      <c r="X117" s="117"/>
      <c r="Y117" s="117" t="s">
        <v>176</v>
      </c>
      <c r="Z117" s="117" t="s">
        <v>176</v>
      </c>
      <c r="AA117" s="117" t="s">
        <v>176</v>
      </c>
      <c r="AB117" s="117" t="s">
        <v>176</v>
      </c>
      <c r="AC117" s="113" t="s">
        <v>176</v>
      </c>
      <c r="AD117" s="118"/>
    </row>
    <row r="118" spans="1:38" ht="12.75" thickBot="1" x14ac:dyDescent="0.25">
      <c r="A118" s="119" t="s">
        <v>177</v>
      </c>
      <c r="B118" s="120"/>
      <c r="C118" s="120"/>
      <c r="D118" s="120"/>
      <c r="E118" s="120"/>
      <c r="F118" s="120"/>
      <c r="G118" s="120"/>
      <c r="H118" s="120"/>
      <c r="I118" s="120"/>
      <c r="J118" s="120" t="s">
        <v>176</v>
      </c>
      <c r="K118" s="120"/>
      <c r="L118" s="120" t="s">
        <v>176</v>
      </c>
      <c r="M118" s="120" t="s">
        <v>176</v>
      </c>
      <c r="N118" s="120"/>
      <c r="O118" s="120"/>
      <c r="P118" s="120" t="s">
        <v>176</v>
      </c>
      <c r="Q118" s="120"/>
      <c r="R118" s="120" t="s">
        <v>176</v>
      </c>
      <c r="S118" s="120" t="s">
        <v>176</v>
      </c>
      <c r="T118" s="120" t="s">
        <v>176</v>
      </c>
      <c r="U118" s="120" t="s">
        <v>176</v>
      </c>
      <c r="V118" s="120" t="s">
        <v>176</v>
      </c>
      <c r="W118" s="120" t="s">
        <v>176</v>
      </c>
      <c r="X118" s="120"/>
      <c r="Y118" s="120"/>
      <c r="Z118" s="120"/>
      <c r="AA118" s="120"/>
      <c r="AB118" s="120"/>
      <c r="AC118" s="56"/>
      <c r="AD118" s="118"/>
    </row>
    <row r="119" spans="1:38" ht="12.75" thickBot="1" x14ac:dyDescent="0.25"/>
    <row r="120" spans="1:38" ht="12.75" x14ac:dyDescent="0.2">
      <c r="A120" s="207" t="s">
        <v>178</v>
      </c>
      <c r="B120" s="426" t="s">
        <v>179</v>
      </c>
      <c r="C120" s="426"/>
      <c r="D120" s="427" t="s">
        <v>180</v>
      </c>
      <c r="E120" s="427"/>
      <c r="F120" s="428" t="s">
        <v>181</v>
      </c>
      <c r="G120" s="429"/>
      <c r="I120" s="295" t="s">
        <v>182</v>
      </c>
    </row>
    <row r="121" spans="1:38" ht="12.75" x14ac:dyDescent="0.2">
      <c r="A121" s="208" t="s">
        <v>183</v>
      </c>
      <c r="B121" s="159"/>
      <c r="C121" s="159"/>
      <c r="D121" s="159"/>
      <c r="E121" s="159"/>
      <c r="F121" s="159"/>
      <c r="G121" s="171"/>
      <c r="I121" s="221" t="s">
        <v>40</v>
      </c>
    </row>
    <row r="122" spans="1:38" x14ac:dyDescent="0.2">
      <c r="A122" s="157" t="s">
        <v>184</v>
      </c>
      <c r="B122" s="160">
        <v>12</v>
      </c>
      <c r="C122" s="160">
        <v>12</v>
      </c>
      <c r="D122" s="162">
        <v>11</v>
      </c>
      <c r="E122" s="162">
        <v>9</v>
      </c>
      <c r="F122" s="164">
        <v>8</v>
      </c>
      <c r="G122" s="209">
        <v>0</v>
      </c>
    </row>
    <row r="123" spans="1:38" x14ac:dyDescent="0.2">
      <c r="A123" s="157" t="s">
        <v>185</v>
      </c>
      <c r="B123" s="160">
        <v>12</v>
      </c>
      <c r="C123" s="160">
        <v>9</v>
      </c>
      <c r="D123" s="162">
        <v>8</v>
      </c>
      <c r="E123" s="162">
        <v>7</v>
      </c>
      <c r="F123" s="164">
        <v>6</v>
      </c>
      <c r="G123" s="209">
        <v>0</v>
      </c>
    </row>
    <row r="124" spans="1:38" x14ac:dyDescent="0.2">
      <c r="A124" s="208" t="s">
        <v>122</v>
      </c>
      <c r="B124" s="363"/>
      <c r="C124" s="364"/>
      <c r="D124" s="364"/>
      <c r="E124" s="364"/>
      <c r="F124" s="364"/>
      <c r="G124" s="171"/>
    </row>
    <row r="125" spans="1:38" ht="12.75" x14ac:dyDescent="0.2">
      <c r="A125" s="240" t="s">
        <v>123</v>
      </c>
      <c r="B125" s="213">
        <v>12</v>
      </c>
      <c r="C125" s="160">
        <f>ROUND(R39,0)</f>
        <v>7</v>
      </c>
      <c r="D125" s="162">
        <f t="shared" ref="D125:D134" si="50">C125-1</f>
        <v>6</v>
      </c>
      <c r="E125" s="162">
        <f>ROUND(H39,0)</f>
        <v>5</v>
      </c>
      <c r="F125" s="164">
        <v>4</v>
      </c>
      <c r="G125" s="165">
        <v>0</v>
      </c>
    </row>
    <row r="126" spans="1:38" ht="12.75" x14ac:dyDescent="0.2">
      <c r="A126" s="240" t="s">
        <v>124</v>
      </c>
      <c r="B126" s="160">
        <v>12</v>
      </c>
      <c r="C126" s="160">
        <f t="shared" ref="C126:C132" si="51">ROUND(R40,0)</f>
        <v>1</v>
      </c>
      <c r="D126" s="162">
        <v>1</v>
      </c>
      <c r="E126" s="162">
        <f>ROUND(H40,0)</f>
        <v>1</v>
      </c>
      <c r="F126" s="164">
        <v>0</v>
      </c>
      <c r="G126" s="209">
        <v>0</v>
      </c>
    </row>
    <row r="127" spans="1:38" ht="12.75" x14ac:dyDescent="0.2">
      <c r="A127" s="240" t="s">
        <v>125</v>
      </c>
      <c r="B127" s="160">
        <v>12</v>
      </c>
      <c r="C127" s="160">
        <f t="shared" si="51"/>
        <v>4</v>
      </c>
      <c r="D127" s="162">
        <f t="shared" si="50"/>
        <v>3</v>
      </c>
      <c r="E127" s="162"/>
      <c r="F127" s="164">
        <v>2</v>
      </c>
      <c r="G127" s="209">
        <v>0</v>
      </c>
    </row>
    <row r="128" spans="1:38" ht="12.75" x14ac:dyDescent="0.2">
      <c r="A128" s="240" t="s">
        <v>126</v>
      </c>
      <c r="B128" s="160">
        <v>12</v>
      </c>
      <c r="C128" s="160">
        <f t="shared" si="51"/>
        <v>7</v>
      </c>
      <c r="D128" s="162">
        <f t="shared" si="50"/>
        <v>6</v>
      </c>
      <c r="E128" s="162">
        <f>ROUND(H42,0)</f>
        <v>5</v>
      </c>
      <c r="F128" s="164">
        <v>4</v>
      </c>
      <c r="G128" s="209">
        <v>0</v>
      </c>
    </row>
    <row r="129" spans="1:7" ht="12.75" x14ac:dyDescent="0.2">
      <c r="A129" s="240" t="s">
        <v>127</v>
      </c>
      <c r="B129" s="160">
        <v>12</v>
      </c>
      <c r="C129" s="160">
        <f t="shared" si="51"/>
        <v>7</v>
      </c>
      <c r="D129" s="162">
        <f t="shared" si="50"/>
        <v>6</v>
      </c>
      <c r="E129" s="162">
        <f>ROUND(H43,0)</f>
        <v>5</v>
      </c>
      <c r="F129" s="164">
        <v>4</v>
      </c>
      <c r="G129" s="209">
        <v>0</v>
      </c>
    </row>
    <row r="130" spans="1:7" ht="12.75" x14ac:dyDescent="0.2">
      <c r="A130" s="240" t="s">
        <v>128</v>
      </c>
      <c r="B130" s="160">
        <v>12</v>
      </c>
      <c r="C130" s="160">
        <f t="shared" si="51"/>
        <v>7</v>
      </c>
      <c r="D130" s="162">
        <f t="shared" si="50"/>
        <v>6</v>
      </c>
      <c r="E130" s="162">
        <f>ROUND(H44,0)</f>
        <v>5</v>
      </c>
      <c r="F130" s="164">
        <v>4</v>
      </c>
      <c r="G130" s="209">
        <v>0</v>
      </c>
    </row>
    <row r="131" spans="1:7" ht="12.75" x14ac:dyDescent="0.2">
      <c r="A131" s="240" t="s">
        <v>129</v>
      </c>
      <c r="B131" s="160">
        <v>12</v>
      </c>
      <c r="C131" s="160">
        <f>ROUNDDOWN(R45,0)</f>
        <v>9</v>
      </c>
      <c r="D131" s="162">
        <f t="shared" si="50"/>
        <v>8</v>
      </c>
      <c r="E131" s="162">
        <f>ROUND(H45,0)</f>
        <v>3</v>
      </c>
      <c r="F131" s="164">
        <v>2</v>
      </c>
      <c r="G131" s="209">
        <v>0</v>
      </c>
    </row>
    <row r="132" spans="1:7" ht="12.75" x14ac:dyDescent="0.2">
      <c r="A132" s="240" t="s">
        <v>130</v>
      </c>
      <c r="B132" s="160">
        <v>12</v>
      </c>
      <c r="C132" s="160">
        <f t="shared" si="51"/>
        <v>7</v>
      </c>
      <c r="D132" s="162">
        <f t="shared" si="50"/>
        <v>6</v>
      </c>
      <c r="E132" s="162">
        <v>5</v>
      </c>
      <c r="F132" s="164">
        <v>3</v>
      </c>
      <c r="G132" s="209">
        <v>0</v>
      </c>
    </row>
    <row r="133" spans="1:7" ht="12.75" x14ac:dyDescent="0.2">
      <c r="A133" s="240" t="s">
        <v>131</v>
      </c>
      <c r="B133" s="160">
        <v>12</v>
      </c>
      <c r="C133" s="160">
        <f>ROUNDDOWN(R47,0)</f>
        <v>9</v>
      </c>
      <c r="D133" s="162">
        <f t="shared" si="50"/>
        <v>8</v>
      </c>
      <c r="E133" s="162">
        <f>ROUND(H47,0)</f>
        <v>3</v>
      </c>
      <c r="F133" s="164">
        <v>2</v>
      </c>
      <c r="G133" s="209">
        <v>0</v>
      </c>
    </row>
    <row r="134" spans="1:7" ht="12.75" x14ac:dyDescent="0.2">
      <c r="A134" s="240" t="s">
        <v>132</v>
      </c>
      <c r="B134" s="160">
        <v>12</v>
      </c>
      <c r="C134" s="160">
        <f>ROUNDDOWN(R48,0)</f>
        <v>9</v>
      </c>
      <c r="D134" s="162">
        <f t="shared" si="50"/>
        <v>8</v>
      </c>
      <c r="E134" s="162">
        <v>7</v>
      </c>
      <c r="F134" s="164">
        <v>6</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6</v>
      </c>
      <c r="C138" s="167">
        <v>6</v>
      </c>
      <c r="D138" s="169">
        <v>5</v>
      </c>
      <c r="E138" s="169">
        <v>4</v>
      </c>
      <c r="F138" s="170">
        <v>3</v>
      </c>
      <c r="G138" s="214">
        <v>0</v>
      </c>
    </row>
    <row r="139" spans="1:7" ht="12.75" thickBot="1" x14ac:dyDescent="0.25">
      <c r="A139" s="158" t="s">
        <v>187</v>
      </c>
      <c r="B139" s="161">
        <v>6</v>
      </c>
      <c r="C139" s="161">
        <v>4</v>
      </c>
      <c r="D139" s="163">
        <v>3</v>
      </c>
      <c r="E139" s="163">
        <v>3</v>
      </c>
      <c r="F139" s="166">
        <v>2</v>
      </c>
      <c r="G139" s="215">
        <v>0</v>
      </c>
    </row>
    <row r="142" spans="1:7" x14ac:dyDescent="0.2">
      <c r="A142" s="340" t="s">
        <v>188</v>
      </c>
      <c r="B142" s="340" t="s">
        <v>198</v>
      </c>
    </row>
    <row r="143" spans="1:7" x14ac:dyDescent="0.2">
      <c r="A143" s="341" t="s">
        <v>190</v>
      </c>
      <c r="B143" s="342">
        <f>HLOOKUP($B$142,'FA-18EF Mission System Summary'!$B$1:$F$12,2,FALSE)</f>
        <v>0.81398064731398057</v>
      </c>
    </row>
    <row r="144" spans="1:7" x14ac:dyDescent="0.2">
      <c r="A144" s="341" t="str">
        <f>A39</f>
        <v>Ready Advance Threat Warning Mission System (C)</v>
      </c>
      <c r="B144" s="342">
        <f>HLOOKUP($B$142,'FA-18EF Mission System Summary'!$B$1:$F$12,3,FALSE)</f>
        <v>0.69748319748319743</v>
      </c>
    </row>
    <row r="145" spans="1:2" x14ac:dyDescent="0.2">
      <c r="A145" s="341" t="str">
        <f t="shared" ref="A145:A153" si="52">A40</f>
        <v>Ready HARM Support Mission System (D)</v>
      </c>
      <c r="B145" s="342">
        <f>HLOOKUP($B$142,'FA-18EF Mission System Summary'!$B$1:$F$12,4,FALSE)</f>
        <v>0.15186615186615188</v>
      </c>
    </row>
    <row r="146" spans="1:2" x14ac:dyDescent="0.2">
      <c r="A146" s="341" t="str">
        <f t="shared" si="52"/>
        <v>Ready Missile Launch Mission System (E)</v>
      </c>
      <c r="B146" s="342">
        <f>HLOOKUP($B$142,'FA-18EF Mission System Summary'!$B$1:$F$12,5,FALSE)</f>
        <v>0.39761189761189758</v>
      </c>
    </row>
    <row r="147" spans="1:2" x14ac:dyDescent="0.2">
      <c r="A147" s="341" t="str">
        <f t="shared" si="52"/>
        <v>Ready Survivablity Mission System (F)</v>
      </c>
      <c r="B147" s="342">
        <f>HLOOKUP($B$142,'FA-18EF Mission System Summary'!$B$1:$F$12,6,FALSE)</f>
        <v>0.68590018590018587</v>
      </c>
    </row>
    <row r="148" spans="1:2" x14ac:dyDescent="0.2">
      <c r="A148" s="341" t="str">
        <f t="shared" si="52"/>
        <v>Ready Leathality Mission System (G)</v>
      </c>
      <c r="B148" s="342">
        <f>HLOOKUP($B$142,'FA-18EF Mission System Summary'!$B$1:$F$12,7,FALSE)</f>
        <v>0.69748319748319743</v>
      </c>
    </row>
    <row r="149" spans="1:2" x14ac:dyDescent="0.2">
      <c r="A149" s="341" t="str">
        <f t="shared" si="52"/>
        <v>Ready Combat Communications Mission System (H)</v>
      </c>
      <c r="B149" s="342">
        <f>HLOOKUP($B$142,'FA-18EF Mission System Summary'!$B$1:$F$12,8,FALSE)</f>
        <v>0.69748319748319743</v>
      </c>
    </row>
    <row r="150" spans="1:2" x14ac:dyDescent="0.2">
      <c r="A150" s="341" t="str">
        <f t="shared" si="52"/>
        <v>Ready Air to Air Refueling Mission Systems (I)</v>
      </c>
      <c r="B150" s="342">
        <f>HLOOKUP($B$142,'FA-18EF Mission System Summary'!$B$1:$F$12,9,FALSE)</f>
        <v>0.34949234949234947</v>
      </c>
    </row>
    <row r="151" spans="1:2" x14ac:dyDescent="0.2">
      <c r="A151" s="341" t="str">
        <f t="shared" si="52"/>
        <v>Ready Tactical Navigation Mission Systems (J)</v>
      </c>
      <c r="B151" s="342">
        <f>HLOOKUP($B$142,'FA-18EF Mission System Summary'!$B$1:$F$12,10,FALSE)</f>
        <v>0.74445874445874438</v>
      </c>
    </row>
    <row r="152" spans="1:2" x14ac:dyDescent="0.2">
      <c r="A152" s="341" t="str">
        <f t="shared" si="52"/>
        <v>Ready Shipboard Mission Systems (K)</v>
      </c>
      <c r="B152" s="342">
        <f>HLOOKUP($B$142,'FA-18EF Mission System Summary'!$B$1:$F$12,11,FALSE)</f>
        <v>0.326004576004576</v>
      </c>
    </row>
    <row r="153" spans="1:2" x14ac:dyDescent="0.2">
      <c r="A153" s="341" t="str">
        <f t="shared" si="52"/>
        <v>Ready IMC Flight Mission Systems (L)</v>
      </c>
      <c r="B153" s="342">
        <f>HLOOKUP($B$142,'FA-18EF Mission System Summary'!$B$1:$F$12,12,FALSE)</f>
        <v>1</v>
      </c>
    </row>
  </sheetData>
  <mergeCells count="15">
    <mergeCell ref="B16:E16"/>
    <mergeCell ref="A1:G1"/>
    <mergeCell ref="M1:P1"/>
    <mergeCell ref="A83:AC83"/>
    <mergeCell ref="R16:W16"/>
    <mergeCell ref="X16:AB16"/>
    <mergeCell ref="F16:J16"/>
    <mergeCell ref="K16:M16"/>
    <mergeCell ref="N16:Q16"/>
    <mergeCell ref="B120:C120"/>
    <mergeCell ref="D120:E120"/>
    <mergeCell ref="F120:G120"/>
    <mergeCell ref="A93:B93"/>
    <mergeCell ref="A94:B94"/>
    <mergeCell ref="A116:B116"/>
  </mergeCells>
  <conditionalFormatting sqref="C122 C135:C139">
    <cfRule type="cellIs" dxfId="89" priority="18" operator="equal">
      <formula>B122</formula>
    </cfRule>
  </conditionalFormatting>
  <conditionalFormatting sqref="D122:E122 D135:E139">
    <cfRule type="cellIs" dxfId="88" priority="19" operator="equal">
      <formula>C122</formula>
    </cfRule>
  </conditionalFormatting>
  <conditionalFormatting sqref="F122">
    <cfRule type="cellIs" dxfId="87" priority="20" operator="equal">
      <formula>E122</formula>
    </cfRule>
  </conditionalFormatting>
  <conditionalFormatting sqref="F135:F139">
    <cfRule type="cellIs" dxfId="86" priority="21" operator="equal">
      <formula>G135</formula>
    </cfRule>
    <cfRule type="cellIs" dxfId="85" priority="27" operator="equal">
      <formula>E135</formula>
    </cfRule>
  </conditionalFormatting>
  <conditionalFormatting sqref="E122">
    <cfRule type="cellIs" dxfId="84" priority="29" operator="equal">
      <formula>D122</formula>
    </cfRule>
  </conditionalFormatting>
  <conditionalFormatting sqref="F122">
    <cfRule type="cellIs" dxfId="83" priority="28" operator="equal">
      <formula>E122</formula>
    </cfRule>
  </conditionalFormatting>
  <conditionalFormatting sqref="C122">
    <cfRule type="cellIs" dxfId="82" priority="31" operator="equal">
      <formula>B122</formula>
    </cfRule>
  </conditionalFormatting>
  <conditionalFormatting sqref="D122">
    <cfRule type="cellIs" dxfId="81" priority="26" operator="equal">
      <formula>C122</formula>
    </cfRule>
  </conditionalFormatting>
  <conditionalFormatting sqref="E122">
    <cfRule type="cellIs" dxfId="80" priority="25" operator="equal">
      <formula>D122</formula>
    </cfRule>
  </conditionalFormatting>
  <conditionalFormatting sqref="F122">
    <cfRule type="cellIs" dxfId="79" priority="24" operator="equal">
      <formula>E122</formula>
    </cfRule>
  </conditionalFormatting>
  <conditionalFormatting sqref="C122">
    <cfRule type="cellIs" dxfId="78" priority="23" operator="equal">
      <formula>B122</formula>
    </cfRule>
  </conditionalFormatting>
  <conditionalFormatting sqref="D122">
    <cfRule type="cellIs" dxfId="77" priority="22" operator="equal">
      <formula>C122</formula>
    </cfRule>
  </conditionalFormatting>
  <conditionalFormatting sqref="E122">
    <cfRule type="cellIs" dxfId="76" priority="30" operator="equal">
      <formula>D122</formula>
    </cfRule>
  </conditionalFormatting>
  <conditionalFormatting sqref="C123:C124">
    <cfRule type="cellIs" dxfId="75" priority="8" operator="equal">
      <formula>B123</formula>
    </cfRule>
  </conditionalFormatting>
  <conditionalFormatting sqref="D123:E124">
    <cfRule type="cellIs" dxfId="74" priority="9" operator="equal">
      <formula>C123</formula>
    </cfRule>
  </conditionalFormatting>
  <conditionalFormatting sqref="F123:F124">
    <cfRule type="cellIs" dxfId="73" priority="10" operator="equal">
      <formula>G123</formula>
    </cfRule>
    <cfRule type="cellIs" dxfId="72" priority="12" operator="equal">
      <formula>E123</formula>
    </cfRule>
  </conditionalFormatting>
  <conditionalFormatting sqref="E123">
    <cfRule type="cellIs" dxfId="71" priority="13" operator="equal">
      <formula>D123</formula>
    </cfRule>
  </conditionalFormatting>
  <conditionalFormatting sqref="E123">
    <cfRule type="cellIs" dxfId="70" priority="11" operator="equal">
      <formula>D123</formula>
    </cfRule>
  </conditionalFormatting>
  <conditionalFormatting sqref="E123">
    <cfRule type="cellIs" dxfId="69" priority="14" operator="equal">
      <formula>D123</formula>
    </cfRule>
  </conditionalFormatting>
  <conditionalFormatting sqref="D126:D134">
    <cfRule type="cellIs" dxfId="68" priority="5" operator="equal">
      <formula>C126</formula>
    </cfRule>
  </conditionalFormatting>
  <conditionalFormatting sqref="F126:F134">
    <cfRule type="cellIs" dxfId="67" priority="4" operator="equal">
      <formula>G126</formula>
    </cfRule>
    <cfRule type="cellIs" dxfId="66" priority="6" operator="equal">
      <formula>E126</formula>
    </cfRule>
  </conditionalFormatting>
  <conditionalFormatting sqref="C125:C134">
    <cfRule type="cellIs" dxfId="65" priority="3" operator="equal">
      <formula>B125</formula>
    </cfRule>
  </conditionalFormatting>
  <conditionalFormatting sqref="D125:E125 E126:E134">
    <cfRule type="cellIs" dxfId="64" priority="1" operator="equal">
      <formula>C125</formula>
    </cfRule>
  </conditionalFormatting>
  <conditionalFormatting sqref="F125">
    <cfRule type="cellIs" dxfId="63" priority="2" operator="equal">
      <formula>G125</formula>
    </cfRule>
    <cfRule type="cellIs" dxfId="62" priority="7" operator="equal">
      <formula>E125</formula>
    </cfRule>
  </conditionalFormatting>
  <hyperlinks>
    <hyperlink ref="H1" location="Inventory!A1" display="Inventory" xr:uid="{00000000-0004-0000-0800-000000000000}"/>
    <hyperlink ref="I121" location="Inventory!A1" display="Inventory" xr:uid="{00000000-0004-0000-0800-000001000000}"/>
    <hyperlink ref="I120" location="'VFA (12F) (6 ARS)'!A1" display="Top" xr:uid="{00000000-0004-0000-0800-000002000000}"/>
    <hyperlink ref="H2" location="'VFA (12F) (6 ARS)'!A140" display="AMFOM" xr:uid="{00000000-0004-0000-0800-000003000000}"/>
  </hyperlinks>
  <printOptions horizontalCentered="1" verticalCentered="1"/>
  <pageMargins left="0.5" right="0.25" top="0.5" bottom="0.5" header="0.5" footer="0.5"/>
  <pageSetup paperSize="17" scale="41" orientation="landscape" horizontalDpi="300" verticalDpi="300" r:id="rId1"/>
  <headerFooter alignWithMargins="0">
    <oddHeader>&amp;C&amp;20VFA E/F 12 Plane Standard</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E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0" s="1" customFormat="1" ht="18.75" x14ac:dyDescent="0.3">
      <c r="A1" s="451" t="s">
        <v>199</v>
      </c>
      <c r="B1" s="451"/>
      <c r="C1" s="451"/>
      <c r="D1" s="451"/>
      <c r="E1" s="451"/>
      <c r="F1" s="451"/>
      <c r="G1" s="451"/>
      <c r="H1" s="145" t="s">
        <v>40</v>
      </c>
      <c r="L1" s="146" t="s">
        <v>41</v>
      </c>
      <c r="M1" s="441">
        <v>44835</v>
      </c>
      <c r="N1" s="442"/>
      <c r="O1" s="443"/>
      <c r="P1" s="443"/>
      <c r="AC1" s="324" t="s">
        <v>42</v>
      </c>
      <c r="AD1" s="325">
        <v>10.08</v>
      </c>
    </row>
    <row r="2" spans="1:30" s="4" customFormat="1" ht="12.75" x14ac:dyDescent="0.2">
      <c r="A2" s="2" t="s">
        <v>43</v>
      </c>
      <c r="B2" s="70">
        <v>12</v>
      </c>
      <c r="C2" s="59"/>
      <c r="D2" s="59"/>
      <c r="E2" s="62"/>
      <c r="F2" s="62"/>
      <c r="G2" s="62"/>
      <c r="H2" s="294" t="s">
        <v>3</v>
      </c>
      <c r="I2" s="59"/>
      <c r="J2" s="59"/>
      <c r="K2" s="59"/>
    </row>
    <row r="3" spans="1:30" s="4" customFormat="1" ht="11.25" x14ac:dyDescent="0.2">
      <c r="A3" s="2" t="s">
        <v>44</v>
      </c>
      <c r="B3" s="71">
        <f>B4/B2</f>
        <v>1.4166666666666667</v>
      </c>
      <c r="C3" s="59"/>
      <c r="D3" s="59"/>
      <c r="E3" s="59"/>
      <c r="F3" s="59"/>
      <c r="G3" s="59"/>
      <c r="H3" s="59"/>
      <c r="I3" s="59"/>
      <c r="J3" s="59"/>
      <c r="K3" s="59"/>
      <c r="L3" s="59"/>
      <c r="M3" s="59"/>
      <c r="N3" s="100"/>
    </row>
    <row r="4" spans="1:30" s="4" customFormat="1" ht="11.25" x14ac:dyDescent="0.2">
      <c r="A4" s="2" t="s">
        <v>45</v>
      </c>
      <c r="B4" s="70">
        <v>17</v>
      </c>
      <c r="C4" s="59"/>
      <c r="D4" s="59"/>
      <c r="E4" s="59"/>
      <c r="F4" s="59"/>
      <c r="G4" s="59"/>
      <c r="H4" s="59"/>
      <c r="I4" s="59"/>
      <c r="J4" s="59"/>
      <c r="K4" s="59"/>
      <c r="L4" s="59"/>
      <c r="M4" s="59"/>
      <c r="N4" s="100"/>
    </row>
    <row r="5" spans="1:30" s="4" customFormat="1" ht="11.25" x14ac:dyDescent="0.2">
      <c r="A5" s="2" t="s">
        <v>46</v>
      </c>
      <c r="B5" s="72">
        <v>1.5</v>
      </c>
      <c r="C5" s="61"/>
      <c r="D5" s="59"/>
      <c r="E5" s="59"/>
      <c r="F5" s="59"/>
      <c r="G5" s="59"/>
      <c r="H5" s="59"/>
      <c r="I5" s="59"/>
      <c r="J5" s="59"/>
      <c r="K5" s="59"/>
      <c r="L5" s="59"/>
      <c r="M5" s="59"/>
      <c r="N5" s="100"/>
    </row>
    <row r="6" spans="1:30" s="4" customFormat="1" ht="11.25" x14ac:dyDescent="0.2">
      <c r="A6" s="6" t="s">
        <v>47</v>
      </c>
      <c r="B6" s="72">
        <v>27.5</v>
      </c>
      <c r="C6" s="61"/>
      <c r="D6" s="59"/>
      <c r="E6" s="59"/>
      <c r="F6" s="59"/>
      <c r="G6" s="59"/>
      <c r="H6" s="59"/>
      <c r="I6" s="59"/>
      <c r="J6" s="59"/>
      <c r="K6" s="59"/>
      <c r="L6" s="59"/>
      <c r="M6" s="59"/>
      <c r="N6" s="100"/>
    </row>
    <row r="7" spans="1:30" s="4" customFormat="1" ht="11.25" x14ac:dyDescent="0.2">
      <c r="A7" s="2" t="s">
        <v>48</v>
      </c>
      <c r="B7" s="72">
        <f>B6*B4</f>
        <v>467.5</v>
      </c>
      <c r="C7" s="60"/>
      <c r="D7" s="60"/>
      <c r="E7" s="59"/>
      <c r="F7" s="59"/>
      <c r="G7" s="59"/>
      <c r="H7" s="59"/>
      <c r="I7" s="59"/>
      <c r="J7" s="59"/>
      <c r="K7" s="59"/>
      <c r="L7" s="59"/>
      <c r="M7" s="59"/>
      <c r="N7" s="100"/>
    </row>
    <row r="8" spans="1:30" s="4" customFormat="1" ht="11.25" x14ac:dyDescent="0.2">
      <c r="A8" s="2" t="s">
        <v>49</v>
      </c>
      <c r="B8" s="70">
        <f>B7/B5</f>
        <v>311.66666666666669</v>
      </c>
      <c r="C8" s="59"/>
      <c r="D8" s="60"/>
      <c r="E8" s="59"/>
      <c r="F8" s="59"/>
      <c r="G8" s="59"/>
      <c r="H8" s="59"/>
      <c r="I8" s="59"/>
      <c r="J8" s="59"/>
      <c r="K8" s="59"/>
      <c r="L8" s="59"/>
      <c r="M8" s="59"/>
      <c r="N8" s="100"/>
    </row>
    <row r="9" spans="1:30" s="4" customFormat="1" ht="11.25" x14ac:dyDescent="0.2">
      <c r="A9" s="2" t="s">
        <v>50</v>
      </c>
      <c r="B9" s="72">
        <f>B4*C9</f>
        <v>17</v>
      </c>
      <c r="C9" s="72">
        <v>1</v>
      </c>
      <c r="D9" s="60" t="s">
        <v>51</v>
      </c>
      <c r="E9" s="59"/>
      <c r="F9" s="59"/>
      <c r="G9" s="92" t="s">
        <v>52</v>
      </c>
      <c r="H9" s="93">
        <v>0.4</v>
      </c>
      <c r="I9" s="59"/>
      <c r="J9" s="59"/>
      <c r="K9" s="59"/>
      <c r="L9" s="59"/>
      <c r="M9" s="59"/>
      <c r="N9" s="100"/>
    </row>
    <row r="10" spans="1:30" s="4" customFormat="1" ht="11.25" x14ac:dyDescent="0.2">
      <c r="A10" s="2" t="s">
        <v>53</v>
      </c>
      <c r="B10" s="72">
        <f>B4*C10</f>
        <v>105.4</v>
      </c>
      <c r="C10" s="72">
        <v>6.2</v>
      </c>
      <c r="D10" s="60" t="s">
        <v>51</v>
      </c>
      <c r="E10" s="59"/>
      <c r="F10" s="59"/>
      <c r="G10" s="94" t="s">
        <v>54</v>
      </c>
      <c r="H10" s="93">
        <v>0.26400000000000001</v>
      </c>
      <c r="I10" s="59"/>
      <c r="J10" s="59"/>
      <c r="K10" s="59"/>
      <c r="L10" s="59"/>
      <c r="M10" s="59"/>
    </row>
    <row r="11" spans="1:30" s="4" customFormat="1" ht="11.25" x14ac:dyDescent="0.2">
      <c r="A11" s="2" t="s">
        <v>55</v>
      </c>
      <c r="B11" s="4">
        <f>C11*B4</f>
        <v>34</v>
      </c>
      <c r="C11" s="5">
        <v>2</v>
      </c>
      <c r="D11" s="7" t="s">
        <v>51</v>
      </c>
      <c r="E11" s="59"/>
      <c r="F11" s="59"/>
      <c r="G11" s="94"/>
      <c r="H11" s="93"/>
      <c r="I11" s="59"/>
      <c r="J11" s="59"/>
      <c r="K11" s="59"/>
      <c r="L11" s="59"/>
      <c r="M11" s="59"/>
    </row>
    <row r="12" spans="1:30" s="4" customFormat="1" ht="11.25" x14ac:dyDescent="0.2">
      <c r="B12" s="60"/>
      <c r="C12" s="59"/>
      <c r="D12" s="61"/>
      <c r="E12" s="59"/>
      <c r="F12" s="59"/>
      <c r="G12" s="59"/>
      <c r="H12" s="59"/>
      <c r="I12" s="59"/>
      <c r="J12" s="59"/>
      <c r="K12" s="59"/>
      <c r="L12" s="59"/>
      <c r="M12" s="59"/>
    </row>
    <row r="13" spans="1:30" s="10" customFormat="1" ht="58.5" x14ac:dyDescent="0.2">
      <c r="A13" s="8" t="s">
        <v>56</v>
      </c>
      <c r="B13" s="63" t="s">
        <v>62</v>
      </c>
      <c r="C13" s="63" t="s">
        <v>62</v>
      </c>
      <c r="D13" s="63" t="s">
        <v>99</v>
      </c>
      <c r="E13" s="63" t="s">
        <v>99</v>
      </c>
      <c r="F13" s="63" t="s">
        <v>99</v>
      </c>
      <c r="G13" s="63" t="s">
        <v>62</v>
      </c>
      <c r="H13" s="63" t="s">
        <v>62</v>
      </c>
      <c r="I13" s="63" t="s">
        <v>62</v>
      </c>
      <c r="J13" s="63" t="s">
        <v>99</v>
      </c>
      <c r="K13" s="63" t="s">
        <v>99</v>
      </c>
      <c r="L13" s="63" t="s">
        <v>99</v>
      </c>
      <c r="M13" s="63" t="s">
        <v>99</v>
      </c>
      <c r="N13" s="115" t="s">
        <v>63</v>
      </c>
    </row>
    <row r="14" spans="1:30" s="13" customFormat="1" x14ac:dyDescent="0.2">
      <c r="A14" s="8" t="s">
        <v>64</v>
      </c>
      <c r="B14" s="86" t="s">
        <v>81</v>
      </c>
      <c r="C14" s="86" t="s">
        <v>82</v>
      </c>
      <c r="D14" s="86" t="s">
        <v>67</v>
      </c>
      <c r="E14" s="86" t="s">
        <v>68</v>
      </c>
      <c r="F14" s="86" t="s">
        <v>200</v>
      </c>
      <c r="G14" s="86" t="s">
        <v>83</v>
      </c>
      <c r="H14" s="86" t="s">
        <v>84</v>
      </c>
      <c r="I14" s="86" t="s">
        <v>85</v>
      </c>
      <c r="J14" s="86" t="s">
        <v>201</v>
      </c>
      <c r="K14" s="86" t="s">
        <v>202</v>
      </c>
      <c r="L14" s="86" t="s">
        <v>75</v>
      </c>
      <c r="M14" s="193" t="s">
        <v>203</v>
      </c>
      <c r="N14" s="11" t="s">
        <v>92</v>
      </c>
    </row>
    <row r="15" spans="1:30" s="13" customFormat="1" x14ac:dyDescent="0.2">
      <c r="A15" s="8" t="s">
        <v>93</v>
      </c>
      <c r="B15" s="85">
        <v>1</v>
      </c>
      <c r="C15" s="85">
        <v>2</v>
      </c>
      <c r="D15" s="85">
        <v>3</v>
      </c>
      <c r="E15" s="85">
        <v>4</v>
      </c>
      <c r="F15" s="85">
        <v>5</v>
      </c>
      <c r="G15" s="85">
        <v>6</v>
      </c>
      <c r="H15" s="85">
        <v>7</v>
      </c>
      <c r="I15" s="85">
        <v>8</v>
      </c>
      <c r="J15" s="85">
        <v>9</v>
      </c>
      <c r="K15" s="85">
        <v>10</v>
      </c>
      <c r="L15" s="85">
        <v>11</v>
      </c>
      <c r="M15" s="194">
        <v>12</v>
      </c>
      <c r="N15" s="11">
        <v>28</v>
      </c>
    </row>
    <row r="16" spans="1:30" x14ac:dyDescent="0.2">
      <c r="A16" s="8" t="s">
        <v>94</v>
      </c>
      <c r="B16" s="452" t="s">
        <v>62</v>
      </c>
      <c r="C16" s="453"/>
      <c r="D16" s="452" t="s">
        <v>99</v>
      </c>
      <c r="E16" s="454"/>
      <c r="F16" s="453"/>
      <c r="G16" s="452" t="s">
        <v>62</v>
      </c>
      <c r="H16" s="454"/>
      <c r="I16" s="453"/>
      <c r="J16" s="200" t="s">
        <v>99</v>
      </c>
      <c r="K16" s="452" t="s">
        <v>204</v>
      </c>
      <c r="L16" s="454"/>
      <c r="M16" s="454"/>
      <c r="N16" s="11" t="s">
        <v>100</v>
      </c>
    </row>
    <row r="17" spans="1:14" ht="12.75" x14ac:dyDescent="0.2">
      <c r="A17" s="96" t="s">
        <v>101</v>
      </c>
      <c r="B17" s="16"/>
      <c r="C17" s="18"/>
      <c r="D17" s="18"/>
      <c r="E17" s="18"/>
      <c r="F17" s="18"/>
      <c r="G17" s="18"/>
      <c r="H17" s="18"/>
      <c r="I17" s="18"/>
      <c r="J17" s="18"/>
      <c r="K17" s="18"/>
      <c r="L17" s="18"/>
      <c r="M17" s="18"/>
      <c r="N17" s="110"/>
    </row>
    <row r="18" spans="1:14" x14ac:dyDescent="0.2">
      <c r="A18" s="133" t="s">
        <v>102</v>
      </c>
      <c r="B18" s="132">
        <f>IF(B86&lt;80,B87,MIN(B86,80))</f>
        <v>80</v>
      </c>
      <c r="C18" s="132">
        <f t="shared" ref="C18:N18" si="0">IF(C86&lt;80,C87,MIN(C86,80))</f>
        <v>80</v>
      </c>
      <c r="D18" s="132">
        <f t="shared" si="0"/>
        <v>80</v>
      </c>
      <c r="E18" s="132">
        <f t="shared" si="0"/>
        <v>80</v>
      </c>
      <c r="F18" s="132">
        <f t="shared" si="0"/>
        <v>80</v>
      </c>
      <c r="G18" s="132">
        <f t="shared" si="0"/>
        <v>80</v>
      </c>
      <c r="H18" s="132">
        <f t="shared" si="0"/>
        <v>80</v>
      </c>
      <c r="I18" s="132">
        <f t="shared" si="0"/>
        <v>80</v>
      </c>
      <c r="J18" s="132">
        <f t="shared" si="0"/>
        <v>80</v>
      </c>
      <c r="K18" s="132">
        <f t="shared" si="0"/>
        <v>80</v>
      </c>
      <c r="L18" s="132">
        <f t="shared" si="0"/>
        <v>80</v>
      </c>
      <c r="M18" s="192">
        <f t="shared" si="0"/>
        <v>80</v>
      </c>
      <c r="N18" s="132">
        <f t="shared" si="0"/>
        <v>25.098281988201322</v>
      </c>
    </row>
    <row r="19" spans="1:14" x14ac:dyDescent="0.2">
      <c r="A19" s="19" t="s">
        <v>103</v>
      </c>
      <c r="B19" s="178">
        <v>0.8</v>
      </c>
      <c r="C19" s="178">
        <v>0.8</v>
      </c>
      <c r="D19" s="178">
        <v>0.6</v>
      </c>
      <c r="E19" s="178">
        <v>0.75</v>
      </c>
      <c r="F19" s="178">
        <v>0.75</v>
      </c>
      <c r="G19" s="178">
        <v>0.8</v>
      </c>
      <c r="H19" s="178">
        <v>0.8</v>
      </c>
      <c r="I19" s="178">
        <v>0.8</v>
      </c>
      <c r="J19" s="178">
        <v>0.6</v>
      </c>
      <c r="K19" s="178">
        <v>0.75</v>
      </c>
      <c r="L19" s="178">
        <v>0.75</v>
      </c>
      <c r="M19" s="187">
        <v>0.75</v>
      </c>
      <c r="N19" s="178">
        <v>0.4</v>
      </c>
    </row>
    <row r="20" spans="1:14" x14ac:dyDescent="0.2">
      <c r="A20" s="177" t="s">
        <v>104</v>
      </c>
      <c r="B20" s="182"/>
      <c r="C20" s="183"/>
      <c r="D20" s="183"/>
      <c r="E20" s="183"/>
      <c r="F20" s="183"/>
      <c r="G20" s="183"/>
      <c r="H20" s="183"/>
      <c r="I20" s="183"/>
      <c r="J20" s="183"/>
      <c r="K20" s="183"/>
      <c r="L20" s="183"/>
      <c r="M20" s="183"/>
      <c r="N20" s="20"/>
    </row>
    <row r="21" spans="1:14" s="27" customFormat="1" x14ac:dyDescent="0.2">
      <c r="A21" s="24" t="s">
        <v>105</v>
      </c>
      <c r="B21" s="179">
        <f t="shared" ref="B21:N21" si="1">B19*$B$8</f>
        <v>249.33333333333337</v>
      </c>
      <c r="C21" s="179">
        <f t="shared" si="1"/>
        <v>249.33333333333337</v>
      </c>
      <c r="D21" s="179">
        <f t="shared" si="1"/>
        <v>187</v>
      </c>
      <c r="E21" s="179">
        <f t="shared" si="1"/>
        <v>233.75</v>
      </c>
      <c r="F21" s="179">
        <f t="shared" si="1"/>
        <v>233.75</v>
      </c>
      <c r="G21" s="179">
        <f t="shared" si="1"/>
        <v>249.33333333333337</v>
      </c>
      <c r="H21" s="179">
        <f t="shared" si="1"/>
        <v>249.33333333333337</v>
      </c>
      <c r="I21" s="179">
        <f t="shared" si="1"/>
        <v>249.33333333333337</v>
      </c>
      <c r="J21" s="179">
        <f t="shared" si="1"/>
        <v>187</v>
      </c>
      <c r="K21" s="179">
        <f t="shared" si="1"/>
        <v>233.75</v>
      </c>
      <c r="L21" s="179">
        <f t="shared" si="1"/>
        <v>233.75</v>
      </c>
      <c r="M21" s="188">
        <f t="shared" si="1"/>
        <v>233.75</v>
      </c>
      <c r="N21" s="179">
        <f t="shared" si="1"/>
        <v>124.66666666666669</v>
      </c>
    </row>
    <row r="22" spans="1:14" s="30" customFormat="1" x14ac:dyDescent="0.2">
      <c r="A22" s="24" t="s">
        <v>106</v>
      </c>
      <c r="B22" s="28">
        <f t="shared" ref="B22:N22" si="2">B21*$B$5</f>
        <v>374.00000000000006</v>
      </c>
      <c r="C22" s="28">
        <f t="shared" si="2"/>
        <v>374.00000000000006</v>
      </c>
      <c r="D22" s="28">
        <f t="shared" si="2"/>
        <v>280.5</v>
      </c>
      <c r="E22" s="28">
        <f t="shared" si="2"/>
        <v>350.625</v>
      </c>
      <c r="F22" s="28">
        <f t="shared" si="2"/>
        <v>350.625</v>
      </c>
      <c r="G22" s="28">
        <f t="shared" si="2"/>
        <v>374.00000000000006</v>
      </c>
      <c r="H22" s="28">
        <f t="shared" si="2"/>
        <v>374.00000000000006</v>
      </c>
      <c r="I22" s="28">
        <f t="shared" si="2"/>
        <v>374.00000000000006</v>
      </c>
      <c r="J22" s="28">
        <f t="shared" si="2"/>
        <v>280.5</v>
      </c>
      <c r="K22" s="28">
        <f t="shared" si="2"/>
        <v>350.625</v>
      </c>
      <c r="L22" s="28">
        <f t="shared" si="2"/>
        <v>350.625</v>
      </c>
      <c r="M22" s="175">
        <f t="shared" si="2"/>
        <v>350.625</v>
      </c>
      <c r="N22" s="28">
        <f t="shared" si="2"/>
        <v>187.00000000000003</v>
      </c>
    </row>
    <row r="23" spans="1:14" s="30" customFormat="1" x14ac:dyDescent="0.2">
      <c r="A23" s="24" t="s">
        <v>107</v>
      </c>
      <c r="B23" s="101">
        <f>$B$9</f>
        <v>17</v>
      </c>
      <c r="C23" s="101">
        <f t="shared" ref="C23:N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89">
        <f t="shared" si="3"/>
        <v>17</v>
      </c>
      <c r="N23" s="101">
        <f t="shared" si="3"/>
        <v>17</v>
      </c>
    </row>
    <row r="24" spans="1:14" s="30" customFormat="1" x14ac:dyDescent="0.2">
      <c r="A24" s="24" t="s">
        <v>108</v>
      </c>
      <c r="B24" s="101">
        <f t="shared" ref="B24:M24" si="4">IF(ISBLANK(B118),0,$B$10)</f>
        <v>105.4</v>
      </c>
      <c r="C24" s="101">
        <f t="shared" si="4"/>
        <v>105.4</v>
      </c>
      <c r="D24" s="101">
        <f t="shared" si="4"/>
        <v>0</v>
      </c>
      <c r="E24" s="101">
        <f t="shared" si="4"/>
        <v>0</v>
      </c>
      <c r="F24" s="101">
        <f t="shared" si="4"/>
        <v>0</v>
      </c>
      <c r="G24" s="101">
        <f t="shared" si="4"/>
        <v>105.4</v>
      </c>
      <c r="H24" s="101">
        <f t="shared" si="4"/>
        <v>105.4</v>
      </c>
      <c r="I24" s="101">
        <f t="shared" si="4"/>
        <v>105.4</v>
      </c>
      <c r="J24" s="101">
        <f t="shared" si="4"/>
        <v>0</v>
      </c>
      <c r="K24" s="101">
        <f t="shared" si="4"/>
        <v>0</v>
      </c>
      <c r="L24" s="101">
        <f t="shared" si="4"/>
        <v>0</v>
      </c>
      <c r="M24" s="189">
        <f t="shared" si="4"/>
        <v>0</v>
      </c>
      <c r="N24" s="101">
        <f>IF(ISBLANK(N107),0,$B$10)</f>
        <v>0</v>
      </c>
    </row>
    <row r="25" spans="1:14" s="30" customFormat="1" x14ac:dyDescent="0.2">
      <c r="A25" s="24" t="s">
        <v>109</v>
      </c>
      <c r="B25" s="28">
        <f>B21*$B$5+SUM(B23:B24)</f>
        <v>496.40000000000009</v>
      </c>
      <c r="C25" s="28">
        <f t="shared" ref="C25:M25" si="5">C21*$B$5+SUM(C23:C24)</f>
        <v>496.40000000000009</v>
      </c>
      <c r="D25" s="28">
        <f t="shared" si="5"/>
        <v>297.5</v>
      </c>
      <c r="E25" s="28">
        <f t="shared" si="5"/>
        <v>367.625</v>
      </c>
      <c r="F25" s="28">
        <f t="shared" si="5"/>
        <v>367.625</v>
      </c>
      <c r="G25" s="28">
        <f t="shared" si="5"/>
        <v>496.40000000000009</v>
      </c>
      <c r="H25" s="28">
        <f t="shared" si="5"/>
        <v>496.40000000000009</v>
      </c>
      <c r="I25" s="28">
        <f t="shared" si="5"/>
        <v>496.40000000000009</v>
      </c>
      <c r="J25" s="28">
        <f t="shared" si="5"/>
        <v>297.5</v>
      </c>
      <c r="K25" s="28">
        <f t="shared" si="5"/>
        <v>367.625</v>
      </c>
      <c r="L25" s="28">
        <f t="shared" si="5"/>
        <v>367.625</v>
      </c>
      <c r="M25" s="175">
        <f t="shared" si="5"/>
        <v>367.625</v>
      </c>
      <c r="N25" s="28">
        <f>N21*$B$5+SUM(N23:N24)</f>
        <v>204.00000000000003</v>
      </c>
    </row>
    <row r="26" spans="1:14" s="30" customFormat="1" x14ac:dyDescent="0.2">
      <c r="A26" s="31" t="s">
        <v>110</v>
      </c>
      <c r="B26" s="32">
        <f t="shared" ref="B26:M26" si="6">-IF(ISBLANK(B117),0,MIN(B$22*$H$10,B$22-$B$7*$H$9))</f>
        <v>0</v>
      </c>
      <c r="C26" s="32">
        <f t="shared" si="6"/>
        <v>0</v>
      </c>
      <c r="D26" s="32">
        <f t="shared" si="6"/>
        <v>0</v>
      </c>
      <c r="E26" s="32">
        <f t="shared" si="6"/>
        <v>0</v>
      </c>
      <c r="F26" s="32">
        <f t="shared" si="6"/>
        <v>0</v>
      </c>
      <c r="G26" s="32">
        <f t="shared" si="6"/>
        <v>0</v>
      </c>
      <c r="H26" s="32">
        <f t="shared" si="6"/>
        <v>0</v>
      </c>
      <c r="I26" s="32">
        <f t="shared" si="6"/>
        <v>0</v>
      </c>
      <c r="J26" s="32">
        <f t="shared" si="6"/>
        <v>0</v>
      </c>
      <c r="K26" s="32">
        <f t="shared" si="6"/>
        <v>0</v>
      </c>
      <c r="L26" s="32">
        <f t="shared" si="6"/>
        <v>0</v>
      </c>
      <c r="M26" s="172">
        <f t="shared" si="6"/>
        <v>0</v>
      </c>
      <c r="N26" s="32">
        <f>-IF(ISBLANK(N106),0,MIN(N$22*$H$10,N$22-$B$7*$H$9))</f>
        <v>0</v>
      </c>
    </row>
    <row r="27" spans="1:14" s="30" customFormat="1" x14ac:dyDescent="0.2">
      <c r="A27" s="24" t="s">
        <v>111</v>
      </c>
      <c r="B27" s="32">
        <f t="shared" ref="B27:M27" si="7">SUM(B25:B26)</f>
        <v>496.40000000000009</v>
      </c>
      <c r="C27" s="32">
        <f t="shared" si="7"/>
        <v>496.40000000000009</v>
      </c>
      <c r="D27" s="32">
        <f t="shared" si="7"/>
        <v>297.5</v>
      </c>
      <c r="E27" s="32">
        <f t="shared" si="7"/>
        <v>367.625</v>
      </c>
      <c r="F27" s="32">
        <f t="shared" si="7"/>
        <v>367.625</v>
      </c>
      <c r="G27" s="32">
        <f t="shared" si="7"/>
        <v>496.40000000000009</v>
      </c>
      <c r="H27" s="32">
        <f t="shared" si="7"/>
        <v>496.40000000000009</v>
      </c>
      <c r="I27" s="32">
        <f t="shared" si="7"/>
        <v>496.40000000000009</v>
      </c>
      <c r="J27" s="32">
        <f t="shared" si="7"/>
        <v>297.5</v>
      </c>
      <c r="K27" s="32">
        <f t="shared" si="7"/>
        <v>367.625</v>
      </c>
      <c r="L27" s="32">
        <f t="shared" si="7"/>
        <v>367.625</v>
      </c>
      <c r="M27" s="172">
        <f t="shared" si="7"/>
        <v>367.625</v>
      </c>
      <c r="N27" s="32">
        <f>SUM(N25:N26)</f>
        <v>204.00000000000003</v>
      </c>
    </row>
    <row r="28" spans="1:14" s="30" customFormat="1" x14ac:dyDescent="0.2">
      <c r="A28" s="31" t="s">
        <v>112</v>
      </c>
      <c r="B28" s="32">
        <f>AVERAGE(L22:M22,B22)</f>
        <v>358.41666666666669</v>
      </c>
      <c r="C28" s="32">
        <f>AVERAGE(M22,B22:C22)</f>
        <v>366.20833333333331</v>
      </c>
      <c r="D28" s="32">
        <f t="shared" ref="D28:M28" si="8">AVERAGE(B22:D22)</f>
        <v>342.83333333333331</v>
      </c>
      <c r="E28" s="32">
        <f t="shared" si="8"/>
        <v>335.04166666666669</v>
      </c>
      <c r="F28" s="32">
        <f t="shared" si="8"/>
        <v>327.25</v>
      </c>
      <c r="G28" s="32">
        <f t="shared" si="8"/>
        <v>358.41666666666669</v>
      </c>
      <c r="H28" s="32">
        <f t="shared" si="8"/>
        <v>366.20833333333331</v>
      </c>
      <c r="I28" s="32">
        <f t="shared" si="8"/>
        <v>374.00000000000006</v>
      </c>
      <c r="J28" s="32">
        <f t="shared" si="8"/>
        <v>342.83333333333331</v>
      </c>
      <c r="K28" s="32">
        <f t="shared" si="8"/>
        <v>335.04166666666669</v>
      </c>
      <c r="L28" s="32">
        <f t="shared" si="8"/>
        <v>327.25</v>
      </c>
      <c r="M28" s="172">
        <f t="shared" si="8"/>
        <v>350.625</v>
      </c>
      <c r="N28" s="32" t="s">
        <v>193</v>
      </c>
    </row>
    <row r="29" spans="1:14" s="30" customFormat="1" x14ac:dyDescent="0.2">
      <c r="A29" s="174" t="s">
        <v>113</v>
      </c>
      <c r="B29" s="175"/>
      <c r="C29" s="176"/>
      <c r="D29" s="176"/>
      <c r="E29" s="176"/>
      <c r="F29" s="176"/>
      <c r="G29" s="176"/>
      <c r="H29" s="176"/>
      <c r="I29" s="176"/>
      <c r="J29" s="176"/>
      <c r="K29" s="176"/>
      <c r="L29" s="176"/>
      <c r="M29" s="176"/>
      <c r="N29" s="28"/>
    </row>
    <row r="30" spans="1:14" s="30" customFormat="1" x14ac:dyDescent="0.2">
      <c r="A30" s="31" t="s">
        <v>114</v>
      </c>
      <c r="B30" s="173">
        <f t="shared" ref="B30:N30" si="9">IF(ISBLANK(B117),0,$B$11)</f>
        <v>0</v>
      </c>
      <c r="C30" s="173">
        <f t="shared" si="9"/>
        <v>0</v>
      </c>
      <c r="D30" s="173">
        <f t="shared" si="9"/>
        <v>0</v>
      </c>
      <c r="E30" s="173">
        <f t="shared" si="9"/>
        <v>0</v>
      </c>
      <c r="F30" s="173">
        <f t="shared" si="9"/>
        <v>0</v>
      </c>
      <c r="G30" s="173">
        <f t="shared" si="9"/>
        <v>0</v>
      </c>
      <c r="H30" s="173">
        <f t="shared" si="9"/>
        <v>0</v>
      </c>
      <c r="I30" s="173">
        <f t="shared" si="9"/>
        <v>0</v>
      </c>
      <c r="J30" s="173">
        <f t="shared" si="9"/>
        <v>0</v>
      </c>
      <c r="K30" s="173">
        <f t="shared" si="9"/>
        <v>0</v>
      </c>
      <c r="L30" s="173">
        <f t="shared" si="9"/>
        <v>0</v>
      </c>
      <c r="M30" s="190">
        <f t="shared" si="9"/>
        <v>0</v>
      </c>
      <c r="N30" s="173">
        <f t="shared" si="9"/>
        <v>0</v>
      </c>
    </row>
    <row r="31" spans="1:14" s="30" customFormat="1" ht="12.75" x14ac:dyDescent="0.2">
      <c r="A31" s="33" t="s">
        <v>115</v>
      </c>
      <c r="B31" s="34"/>
      <c r="C31" s="35"/>
      <c r="D31" s="35"/>
      <c r="E31" s="35"/>
      <c r="F31" s="35"/>
      <c r="G31" s="35"/>
      <c r="H31" s="35"/>
      <c r="I31" s="35"/>
      <c r="J31" s="35"/>
      <c r="K31" s="35"/>
      <c r="L31" s="35"/>
      <c r="M31" s="35"/>
      <c r="N31" s="24"/>
    </row>
    <row r="32" spans="1:14" s="30" customFormat="1" x14ac:dyDescent="0.2">
      <c r="A32" s="8" t="s">
        <v>116</v>
      </c>
      <c r="B32" s="20">
        <v>1</v>
      </c>
      <c r="C32" s="20">
        <v>1</v>
      </c>
      <c r="D32" s="20">
        <v>1</v>
      </c>
      <c r="E32" s="20">
        <v>1</v>
      </c>
      <c r="F32" s="20">
        <v>1</v>
      </c>
      <c r="G32" s="20">
        <v>1</v>
      </c>
      <c r="H32" s="20">
        <v>1</v>
      </c>
      <c r="I32" s="20">
        <v>1</v>
      </c>
      <c r="J32" s="20">
        <v>1</v>
      </c>
      <c r="K32" s="20">
        <v>1</v>
      </c>
      <c r="L32" s="20">
        <v>1</v>
      </c>
      <c r="M32" s="20">
        <v>1</v>
      </c>
      <c r="N32" s="20">
        <v>1</v>
      </c>
    </row>
    <row r="33" spans="1:31" s="30" customFormat="1" x14ac:dyDescent="0.2">
      <c r="A33" s="8" t="s">
        <v>117</v>
      </c>
      <c r="B33" s="36">
        <v>0.8</v>
      </c>
      <c r="C33" s="36">
        <v>0.8</v>
      </c>
      <c r="D33" s="36">
        <v>0.8</v>
      </c>
      <c r="E33" s="36">
        <v>0.8</v>
      </c>
      <c r="F33" s="36">
        <v>0.8</v>
      </c>
      <c r="G33" s="36">
        <v>0.8</v>
      </c>
      <c r="H33" s="36">
        <v>0.8</v>
      </c>
      <c r="I33" s="36">
        <v>0.8</v>
      </c>
      <c r="J33" s="36">
        <v>0.8</v>
      </c>
      <c r="K33" s="36">
        <v>0.8</v>
      </c>
      <c r="L33" s="36">
        <v>0.8</v>
      </c>
      <c r="M33" s="36">
        <v>0.8</v>
      </c>
      <c r="N33" s="36">
        <v>0.8</v>
      </c>
    </row>
    <row r="34" spans="1:31" s="30" customFormat="1" x14ac:dyDescent="0.2">
      <c r="A34" s="8" t="s">
        <v>118</v>
      </c>
      <c r="B34" s="36">
        <f>((B36*$B$143)/$B$2)</f>
        <v>0.65118451785118447</v>
      </c>
      <c r="C34" s="36">
        <f t="shared" ref="C34:N34" si="10">((C36*$B$143)/$B$2)</f>
        <v>0.65118451785118447</v>
      </c>
      <c r="D34" s="36">
        <f t="shared" si="10"/>
        <v>0.65118451785118447</v>
      </c>
      <c r="E34" s="36">
        <f t="shared" si="10"/>
        <v>0.65118451785118447</v>
      </c>
      <c r="F34" s="36">
        <f t="shared" si="10"/>
        <v>0.65118451785118447</v>
      </c>
      <c r="G34" s="36">
        <f t="shared" si="10"/>
        <v>0.65118451785118447</v>
      </c>
      <c r="H34" s="36">
        <f t="shared" si="10"/>
        <v>0.65118451785118447</v>
      </c>
      <c r="I34" s="36">
        <f t="shared" si="10"/>
        <v>0.65118451785118447</v>
      </c>
      <c r="J34" s="36">
        <f t="shared" si="10"/>
        <v>0.65118451785118447</v>
      </c>
      <c r="K34" s="36">
        <f t="shared" si="10"/>
        <v>0.65118451785118447</v>
      </c>
      <c r="L34" s="36">
        <f t="shared" si="10"/>
        <v>0.65118451785118447</v>
      </c>
      <c r="M34" s="36">
        <f t="shared" si="10"/>
        <v>0.65118451785118447</v>
      </c>
      <c r="N34" s="36">
        <f t="shared" si="10"/>
        <v>0.65118451785118447</v>
      </c>
    </row>
    <row r="35" spans="1:31" s="30" customFormat="1" x14ac:dyDescent="0.2">
      <c r="A35" s="24" t="s">
        <v>119</v>
      </c>
      <c r="B35" s="132">
        <f t="shared" ref="B35:N35" si="11">ROUND($B$2*B$32,2)</f>
        <v>12</v>
      </c>
      <c r="C35" s="132">
        <f t="shared" si="11"/>
        <v>12</v>
      </c>
      <c r="D35" s="132">
        <f t="shared" si="11"/>
        <v>12</v>
      </c>
      <c r="E35" s="132">
        <f t="shared" si="11"/>
        <v>12</v>
      </c>
      <c r="F35" s="132">
        <f t="shared" si="11"/>
        <v>12</v>
      </c>
      <c r="G35" s="132">
        <f t="shared" si="11"/>
        <v>12</v>
      </c>
      <c r="H35" s="132">
        <f t="shared" si="11"/>
        <v>12</v>
      </c>
      <c r="I35" s="132">
        <f t="shared" si="11"/>
        <v>12</v>
      </c>
      <c r="J35" s="132">
        <f t="shared" si="11"/>
        <v>12</v>
      </c>
      <c r="K35" s="132">
        <f t="shared" si="11"/>
        <v>12</v>
      </c>
      <c r="L35" s="132">
        <f t="shared" si="11"/>
        <v>12</v>
      </c>
      <c r="M35" s="132">
        <f t="shared" si="11"/>
        <v>12</v>
      </c>
      <c r="N35" s="132">
        <f t="shared" si="11"/>
        <v>12</v>
      </c>
    </row>
    <row r="36" spans="1:31" x14ac:dyDescent="0.2">
      <c r="A36" s="24" t="s">
        <v>120</v>
      </c>
      <c r="B36" s="132">
        <f t="shared" ref="B36:N36" si="12">ROUND($B$2*B$33,2)</f>
        <v>9.6</v>
      </c>
      <c r="C36" s="132">
        <f t="shared" si="12"/>
        <v>9.6</v>
      </c>
      <c r="D36" s="132">
        <f t="shared" si="12"/>
        <v>9.6</v>
      </c>
      <c r="E36" s="132">
        <f t="shared" si="12"/>
        <v>9.6</v>
      </c>
      <c r="F36" s="132">
        <f t="shared" si="12"/>
        <v>9.6</v>
      </c>
      <c r="G36" s="132">
        <f t="shared" si="12"/>
        <v>9.6</v>
      </c>
      <c r="H36" s="132">
        <f t="shared" si="12"/>
        <v>9.6</v>
      </c>
      <c r="I36" s="132">
        <f t="shared" si="12"/>
        <v>9.6</v>
      </c>
      <c r="J36" s="132">
        <f t="shared" si="12"/>
        <v>9.6</v>
      </c>
      <c r="K36" s="132">
        <f t="shared" si="12"/>
        <v>9.6</v>
      </c>
      <c r="L36" s="132">
        <f t="shared" si="12"/>
        <v>9.6</v>
      </c>
      <c r="M36" s="132">
        <f t="shared" si="12"/>
        <v>9.6</v>
      </c>
      <c r="N36" s="132">
        <f t="shared" si="12"/>
        <v>9.6</v>
      </c>
    </row>
    <row r="37" spans="1:31" x14ac:dyDescent="0.2">
      <c r="A37" s="202" t="s">
        <v>121</v>
      </c>
      <c r="B37" s="360">
        <f>B34*$B$2</f>
        <v>7.8142142142142141</v>
      </c>
      <c r="C37" s="360">
        <f t="shared" ref="C37:N37" si="13">C34*$B$2</f>
        <v>7.8142142142142141</v>
      </c>
      <c r="D37" s="360">
        <f t="shared" si="13"/>
        <v>7.8142142142142141</v>
      </c>
      <c r="E37" s="360">
        <f t="shared" si="13"/>
        <v>7.8142142142142141</v>
      </c>
      <c r="F37" s="360">
        <f t="shared" si="13"/>
        <v>7.8142142142142141</v>
      </c>
      <c r="G37" s="360">
        <f t="shared" si="13"/>
        <v>7.8142142142142141</v>
      </c>
      <c r="H37" s="360">
        <f t="shared" si="13"/>
        <v>7.8142142142142141</v>
      </c>
      <c r="I37" s="360">
        <f t="shared" si="13"/>
        <v>7.8142142142142141</v>
      </c>
      <c r="J37" s="360">
        <f t="shared" si="13"/>
        <v>7.8142142142142141</v>
      </c>
      <c r="K37" s="360">
        <f t="shared" si="13"/>
        <v>7.8142142142142141</v>
      </c>
      <c r="L37" s="360">
        <f t="shared" si="13"/>
        <v>7.8142142142142141</v>
      </c>
      <c r="M37" s="360">
        <f t="shared" si="13"/>
        <v>7.8142142142142141</v>
      </c>
      <c r="N37" s="360">
        <f t="shared" si="13"/>
        <v>7.8142142142142141</v>
      </c>
    </row>
    <row r="38" spans="1:31" s="225" customFormat="1" ht="12.75" x14ac:dyDescent="0.2">
      <c r="A38" s="222" t="s">
        <v>122</v>
      </c>
      <c r="B38" s="345"/>
      <c r="C38" s="361"/>
      <c r="D38" s="361"/>
      <c r="E38" s="361"/>
      <c r="F38" s="361"/>
      <c r="G38" s="361"/>
      <c r="H38" s="361"/>
      <c r="I38" s="361"/>
      <c r="J38" s="361"/>
      <c r="K38" s="361"/>
      <c r="L38" s="361"/>
      <c r="M38" s="361"/>
      <c r="N38" s="361"/>
      <c r="O38" s="234"/>
      <c r="P38" s="232"/>
      <c r="Q38" s="232"/>
      <c r="R38" s="232"/>
      <c r="S38" s="232"/>
      <c r="T38" s="232"/>
      <c r="U38" s="232"/>
      <c r="V38" s="232"/>
      <c r="W38" s="232"/>
      <c r="X38" s="232"/>
      <c r="Y38" s="232"/>
      <c r="Z38" s="232"/>
      <c r="AA38" s="232"/>
      <c r="AB38" s="232"/>
      <c r="AC38" s="233"/>
      <c r="AD38" s="224"/>
      <c r="AE38" s="224"/>
    </row>
    <row r="39" spans="1:31" s="225" customFormat="1" ht="12.75" x14ac:dyDescent="0.2">
      <c r="A39" s="240" t="s">
        <v>123</v>
      </c>
      <c r="B39" s="323">
        <f t="shared" ref="B39:N39" si="14">IF($B144&gt;=0.9, B$36,B$36*$B144)</f>
        <v>6.6958386958386953</v>
      </c>
      <c r="C39" s="323">
        <f t="shared" si="14"/>
        <v>6.6958386958386953</v>
      </c>
      <c r="D39" s="323">
        <f t="shared" si="14"/>
        <v>6.6958386958386953</v>
      </c>
      <c r="E39" s="323">
        <f t="shared" si="14"/>
        <v>6.6958386958386953</v>
      </c>
      <c r="F39" s="323">
        <f t="shared" si="14"/>
        <v>6.6958386958386953</v>
      </c>
      <c r="G39" s="323">
        <f t="shared" si="14"/>
        <v>6.6958386958386953</v>
      </c>
      <c r="H39" s="323">
        <f t="shared" si="14"/>
        <v>6.6958386958386953</v>
      </c>
      <c r="I39" s="323">
        <f t="shared" si="14"/>
        <v>6.6958386958386953</v>
      </c>
      <c r="J39" s="323">
        <f t="shared" si="14"/>
        <v>6.6958386958386953</v>
      </c>
      <c r="K39" s="323">
        <f t="shared" si="14"/>
        <v>6.6958386958386953</v>
      </c>
      <c r="L39" s="323">
        <f t="shared" si="14"/>
        <v>6.6958386958386953</v>
      </c>
      <c r="M39" s="323">
        <f t="shared" si="14"/>
        <v>6.6958386958386953</v>
      </c>
      <c r="N39" s="323">
        <f t="shared" si="14"/>
        <v>6.6958386958386953</v>
      </c>
      <c r="O39" s="232"/>
      <c r="P39" s="232"/>
      <c r="Q39" s="232"/>
      <c r="R39" s="232"/>
      <c r="S39" s="232"/>
      <c r="T39" s="232"/>
      <c r="U39" s="232"/>
      <c r="V39" s="232"/>
      <c r="W39" s="232"/>
      <c r="X39" s="232"/>
      <c r="Y39" s="232"/>
      <c r="Z39" s="232"/>
      <c r="AA39" s="232"/>
      <c r="AB39" s="232"/>
      <c r="AC39" s="233"/>
      <c r="AD39" s="224"/>
      <c r="AE39" s="224"/>
    </row>
    <row r="40" spans="1:31" s="225" customFormat="1" ht="12.75" x14ac:dyDescent="0.2">
      <c r="A40" s="240" t="s">
        <v>124</v>
      </c>
      <c r="B40" s="323">
        <f t="shared" ref="B40:N40" si="15">IF($B145&gt;=0.9, B$36,B$36*$B145)</f>
        <v>1.4579150579150579</v>
      </c>
      <c r="C40" s="323">
        <f t="shared" si="15"/>
        <v>1.4579150579150579</v>
      </c>
      <c r="D40" s="323">
        <f t="shared" si="15"/>
        <v>1.4579150579150579</v>
      </c>
      <c r="E40" s="323">
        <f t="shared" si="15"/>
        <v>1.4579150579150579</v>
      </c>
      <c r="F40" s="323">
        <f t="shared" si="15"/>
        <v>1.4579150579150579</v>
      </c>
      <c r="G40" s="323">
        <f t="shared" si="15"/>
        <v>1.4579150579150579</v>
      </c>
      <c r="H40" s="323">
        <f t="shared" si="15"/>
        <v>1.4579150579150579</v>
      </c>
      <c r="I40" s="323">
        <f t="shared" si="15"/>
        <v>1.4579150579150579</v>
      </c>
      <c r="J40" s="323">
        <f t="shared" si="15"/>
        <v>1.4579150579150579</v>
      </c>
      <c r="K40" s="323">
        <f t="shared" si="15"/>
        <v>1.4579150579150579</v>
      </c>
      <c r="L40" s="323">
        <f t="shared" si="15"/>
        <v>1.4579150579150579</v>
      </c>
      <c r="M40" s="323">
        <f t="shared" si="15"/>
        <v>1.4579150579150579</v>
      </c>
      <c r="N40" s="323">
        <f t="shared" si="15"/>
        <v>1.4579150579150579</v>
      </c>
      <c r="O40" s="232"/>
      <c r="P40" s="232"/>
      <c r="Q40" s="232"/>
      <c r="R40" s="232"/>
      <c r="S40" s="232"/>
      <c r="T40" s="232"/>
      <c r="U40" s="232"/>
      <c r="V40" s="232"/>
      <c r="W40" s="232"/>
      <c r="X40" s="232"/>
      <c r="Y40" s="232"/>
      <c r="Z40" s="232"/>
      <c r="AA40" s="232"/>
      <c r="AB40" s="232"/>
      <c r="AC40" s="233"/>
      <c r="AD40" s="224"/>
      <c r="AE40" s="224"/>
    </row>
    <row r="41" spans="1:31" s="225" customFormat="1" ht="12.75" x14ac:dyDescent="0.2">
      <c r="A41" s="240" t="s">
        <v>125</v>
      </c>
      <c r="B41" s="323">
        <f t="shared" ref="B41:N41" si="16">IF($B146&gt;=0.9, B$36,B$36*$B146)</f>
        <v>3.8170742170742167</v>
      </c>
      <c r="C41" s="323">
        <f t="shared" si="16"/>
        <v>3.8170742170742167</v>
      </c>
      <c r="D41" s="323">
        <f t="shared" si="16"/>
        <v>3.8170742170742167</v>
      </c>
      <c r="E41" s="323">
        <f t="shared" si="16"/>
        <v>3.8170742170742167</v>
      </c>
      <c r="F41" s="323">
        <f t="shared" si="16"/>
        <v>3.8170742170742167</v>
      </c>
      <c r="G41" s="323">
        <f t="shared" si="16"/>
        <v>3.8170742170742167</v>
      </c>
      <c r="H41" s="323">
        <f t="shared" si="16"/>
        <v>3.8170742170742167</v>
      </c>
      <c r="I41" s="323">
        <f t="shared" si="16"/>
        <v>3.8170742170742167</v>
      </c>
      <c r="J41" s="323">
        <f t="shared" si="16"/>
        <v>3.8170742170742167</v>
      </c>
      <c r="K41" s="323">
        <f t="shared" si="16"/>
        <v>3.8170742170742167</v>
      </c>
      <c r="L41" s="323">
        <f t="shared" si="16"/>
        <v>3.8170742170742167</v>
      </c>
      <c r="M41" s="323">
        <f t="shared" si="16"/>
        <v>3.8170742170742167</v>
      </c>
      <c r="N41" s="323">
        <f t="shared" si="16"/>
        <v>3.8170742170742167</v>
      </c>
      <c r="O41" s="232"/>
      <c r="P41" s="232"/>
      <c r="Q41" s="232"/>
      <c r="R41" s="232"/>
      <c r="S41" s="232"/>
      <c r="T41" s="232"/>
      <c r="U41" s="232"/>
      <c r="V41" s="232"/>
      <c r="W41" s="232"/>
      <c r="X41" s="232"/>
      <c r="Y41" s="232"/>
      <c r="Z41" s="232"/>
      <c r="AA41" s="232"/>
      <c r="AB41" s="232"/>
      <c r="AC41" s="233"/>
      <c r="AD41" s="224"/>
      <c r="AE41" s="224"/>
    </row>
    <row r="42" spans="1:31" s="225" customFormat="1" ht="12.75" x14ac:dyDescent="0.2">
      <c r="A42" s="240" t="s">
        <v>126</v>
      </c>
      <c r="B42" s="323">
        <f t="shared" ref="B42:N42" si="17">IF($B147&gt;=0.9, B$36,B$36*$B147)</f>
        <v>6.584641784641784</v>
      </c>
      <c r="C42" s="323">
        <f t="shared" si="17"/>
        <v>6.584641784641784</v>
      </c>
      <c r="D42" s="323">
        <f t="shared" si="17"/>
        <v>6.584641784641784</v>
      </c>
      <c r="E42" s="323">
        <f t="shared" si="17"/>
        <v>6.584641784641784</v>
      </c>
      <c r="F42" s="323">
        <f t="shared" si="17"/>
        <v>6.584641784641784</v>
      </c>
      <c r="G42" s="323">
        <f t="shared" si="17"/>
        <v>6.584641784641784</v>
      </c>
      <c r="H42" s="323">
        <f t="shared" si="17"/>
        <v>6.584641784641784</v>
      </c>
      <c r="I42" s="323">
        <f t="shared" si="17"/>
        <v>6.584641784641784</v>
      </c>
      <c r="J42" s="323">
        <f t="shared" si="17"/>
        <v>6.584641784641784</v>
      </c>
      <c r="K42" s="323">
        <f t="shared" si="17"/>
        <v>6.584641784641784</v>
      </c>
      <c r="L42" s="323">
        <f t="shared" si="17"/>
        <v>6.584641784641784</v>
      </c>
      <c r="M42" s="323">
        <f t="shared" si="17"/>
        <v>6.584641784641784</v>
      </c>
      <c r="N42" s="323">
        <f t="shared" si="17"/>
        <v>6.584641784641784</v>
      </c>
      <c r="O42" s="232"/>
      <c r="P42" s="232"/>
      <c r="Q42" s="232"/>
      <c r="R42" s="232"/>
      <c r="S42" s="232"/>
      <c r="T42" s="232"/>
      <c r="U42" s="232"/>
      <c r="V42" s="232"/>
      <c r="W42" s="232"/>
      <c r="X42" s="232"/>
      <c r="Y42" s="232"/>
      <c r="Z42" s="232"/>
      <c r="AA42" s="232"/>
      <c r="AB42" s="232"/>
      <c r="AC42" s="233"/>
      <c r="AD42" s="224"/>
      <c r="AE42" s="224"/>
    </row>
    <row r="43" spans="1:31" s="225" customFormat="1" ht="12.75" x14ac:dyDescent="0.2">
      <c r="A43" s="240" t="s">
        <v>127</v>
      </c>
      <c r="B43" s="323">
        <f t="shared" ref="B43:N43" si="18">IF($B148&gt;=0.9, B$36,B$36*$B148)</f>
        <v>6.6958386958386953</v>
      </c>
      <c r="C43" s="323">
        <f t="shared" si="18"/>
        <v>6.6958386958386953</v>
      </c>
      <c r="D43" s="323">
        <f t="shared" si="18"/>
        <v>6.6958386958386953</v>
      </c>
      <c r="E43" s="323">
        <f t="shared" si="18"/>
        <v>6.6958386958386953</v>
      </c>
      <c r="F43" s="323">
        <f t="shared" si="18"/>
        <v>6.6958386958386953</v>
      </c>
      <c r="G43" s="323">
        <f t="shared" si="18"/>
        <v>6.6958386958386953</v>
      </c>
      <c r="H43" s="323">
        <f t="shared" si="18"/>
        <v>6.6958386958386953</v>
      </c>
      <c r="I43" s="323">
        <f t="shared" si="18"/>
        <v>6.6958386958386953</v>
      </c>
      <c r="J43" s="323">
        <f t="shared" si="18"/>
        <v>6.6958386958386953</v>
      </c>
      <c r="K43" s="323">
        <f t="shared" si="18"/>
        <v>6.6958386958386953</v>
      </c>
      <c r="L43" s="323">
        <f t="shared" si="18"/>
        <v>6.6958386958386953</v>
      </c>
      <c r="M43" s="323">
        <f t="shared" si="18"/>
        <v>6.6958386958386953</v>
      </c>
      <c r="N43" s="323">
        <f t="shared" si="18"/>
        <v>6.6958386958386953</v>
      </c>
      <c r="O43" s="232"/>
      <c r="P43" s="232"/>
      <c r="Q43" s="232"/>
      <c r="R43" s="232"/>
      <c r="S43" s="232"/>
      <c r="T43" s="232"/>
      <c r="U43" s="232"/>
      <c r="V43" s="232"/>
      <c r="W43" s="232"/>
      <c r="X43" s="232"/>
      <c r="Y43" s="232"/>
      <c r="Z43" s="232"/>
      <c r="AA43" s="232"/>
      <c r="AB43" s="232"/>
      <c r="AC43" s="233"/>
      <c r="AD43" s="224"/>
      <c r="AE43" s="224"/>
    </row>
    <row r="44" spans="1:31" s="225" customFormat="1" ht="12.75" x14ac:dyDescent="0.2">
      <c r="A44" s="240" t="s">
        <v>128</v>
      </c>
      <c r="B44" s="323">
        <f t="shared" ref="B44:N44" si="19">IF($B149&gt;=0.9, B$36,B$36*$B149)</f>
        <v>6.6958386958386953</v>
      </c>
      <c r="C44" s="323">
        <f t="shared" si="19"/>
        <v>6.6958386958386953</v>
      </c>
      <c r="D44" s="323">
        <f t="shared" si="19"/>
        <v>6.6958386958386953</v>
      </c>
      <c r="E44" s="323">
        <f t="shared" si="19"/>
        <v>6.6958386958386953</v>
      </c>
      <c r="F44" s="323">
        <f t="shared" si="19"/>
        <v>6.6958386958386953</v>
      </c>
      <c r="G44" s="323">
        <f t="shared" si="19"/>
        <v>6.6958386958386953</v>
      </c>
      <c r="H44" s="323">
        <f t="shared" si="19"/>
        <v>6.6958386958386953</v>
      </c>
      <c r="I44" s="323">
        <f t="shared" si="19"/>
        <v>6.6958386958386953</v>
      </c>
      <c r="J44" s="323">
        <f t="shared" si="19"/>
        <v>6.6958386958386953</v>
      </c>
      <c r="K44" s="323">
        <f t="shared" si="19"/>
        <v>6.6958386958386953</v>
      </c>
      <c r="L44" s="323">
        <f t="shared" si="19"/>
        <v>6.6958386958386953</v>
      </c>
      <c r="M44" s="323">
        <f t="shared" si="19"/>
        <v>6.6958386958386953</v>
      </c>
      <c r="N44" s="323">
        <f t="shared" si="19"/>
        <v>6.6958386958386953</v>
      </c>
      <c r="O44" s="232"/>
      <c r="P44" s="232"/>
      <c r="Q44" s="232"/>
      <c r="R44" s="232"/>
      <c r="S44" s="232"/>
      <c r="T44" s="232"/>
      <c r="U44" s="232"/>
      <c r="V44" s="232"/>
      <c r="W44" s="232"/>
      <c r="X44" s="232"/>
      <c r="Y44" s="232"/>
      <c r="Z44" s="232"/>
      <c r="AA44" s="232"/>
      <c r="AB44" s="232"/>
      <c r="AC44" s="233"/>
      <c r="AD44" s="224"/>
      <c r="AE44" s="224"/>
    </row>
    <row r="45" spans="1:31" s="225" customFormat="1" ht="12.75" x14ac:dyDescent="0.2">
      <c r="A45" s="240" t="s">
        <v>129</v>
      </c>
      <c r="B45" s="323">
        <f>IF(B$13="Deploy",B$36,IF($B150&gt;=0.9, B$36,B$36*$B150))</f>
        <v>9.6</v>
      </c>
      <c r="C45" s="323">
        <f t="shared" ref="C45:N45" si="20">IF(C$13="Deploy",C$36,IF($B150&gt;=0.9, C$36,C$36*$B150))</f>
        <v>9.6</v>
      </c>
      <c r="D45" s="323">
        <f t="shared" si="20"/>
        <v>3.3551265551265548</v>
      </c>
      <c r="E45" s="323">
        <f t="shared" si="20"/>
        <v>3.3551265551265548</v>
      </c>
      <c r="F45" s="323">
        <f t="shared" si="20"/>
        <v>3.3551265551265548</v>
      </c>
      <c r="G45" s="323">
        <f t="shared" si="20"/>
        <v>9.6</v>
      </c>
      <c r="H45" s="323">
        <f t="shared" si="20"/>
        <v>9.6</v>
      </c>
      <c r="I45" s="323">
        <f t="shared" si="20"/>
        <v>9.6</v>
      </c>
      <c r="J45" s="323">
        <f t="shared" si="20"/>
        <v>3.3551265551265548</v>
      </c>
      <c r="K45" s="323">
        <f t="shared" si="20"/>
        <v>3.3551265551265548</v>
      </c>
      <c r="L45" s="323">
        <f t="shared" si="20"/>
        <v>3.3551265551265548</v>
      </c>
      <c r="M45" s="323">
        <f t="shared" si="20"/>
        <v>3.3551265551265548</v>
      </c>
      <c r="N45" s="323">
        <f t="shared" si="20"/>
        <v>3.3551265551265548</v>
      </c>
      <c r="O45" s="232"/>
      <c r="P45" s="232"/>
      <c r="Q45" s="232"/>
      <c r="R45" s="232"/>
      <c r="S45" s="232"/>
      <c r="T45" s="232"/>
      <c r="U45" s="232"/>
      <c r="V45" s="232"/>
      <c r="W45" s="232"/>
      <c r="X45" s="232"/>
      <c r="Y45" s="232"/>
      <c r="Z45" s="232"/>
      <c r="AA45" s="232"/>
      <c r="AB45" s="232"/>
      <c r="AC45" s="233"/>
      <c r="AD45" s="224"/>
      <c r="AE45" s="224"/>
    </row>
    <row r="46" spans="1:31" s="225" customFormat="1" ht="12.75" x14ac:dyDescent="0.2">
      <c r="A46" s="240" t="s">
        <v>130</v>
      </c>
      <c r="B46" s="323">
        <f t="shared" ref="B46:N46" si="21">IF($B151&gt;=0.9, B$36,B$36*$B151)</f>
        <v>7.1468039468039457</v>
      </c>
      <c r="C46" s="323">
        <f t="shared" si="21"/>
        <v>7.1468039468039457</v>
      </c>
      <c r="D46" s="323">
        <f t="shared" si="21"/>
        <v>7.1468039468039457</v>
      </c>
      <c r="E46" s="323">
        <f t="shared" si="21"/>
        <v>7.1468039468039457</v>
      </c>
      <c r="F46" s="323">
        <f t="shared" si="21"/>
        <v>7.1468039468039457</v>
      </c>
      <c r="G46" s="323">
        <f t="shared" si="21"/>
        <v>7.1468039468039457</v>
      </c>
      <c r="H46" s="323">
        <f t="shared" si="21"/>
        <v>7.1468039468039457</v>
      </c>
      <c r="I46" s="323">
        <f t="shared" si="21"/>
        <v>7.1468039468039457</v>
      </c>
      <c r="J46" s="323">
        <f t="shared" si="21"/>
        <v>7.1468039468039457</v>
      </c>
      <c r="K46" s="323">
        <f t="shared" si="21"/>
        <v>7.1468039468039457</v>
      </c>
      <c r="L46" s="323">
        <f t="shared" si="21"/>
        <v>7.1468039468039457</v>
      </c>
      <c r="M46" s="323">
        <f t="shared" si="21"/>
        <v>7.1468039468039457</v>
      </c>
      <c r="N46" s="323">
        <f t="shared" si="21"/>
        <v>7.1468039468039457</v>
      </c>
      <c r="O46" s="232"/>
      <c r="P46" s="232"/>
      <c r="Q46" s="232"/>
      <c r="R46" s="232"/>
      <c r="S46" s="232"/>
      <c r="T46" s="232"/>
      <c r="U46" s="232"/>
      <c r="V46" s="232"/>
      <c r="W46" s="232"/>
      <c r="X46" s="232"/>
      <c r="Y46" s="232"/>
      <c r="Z46" s="232"/>
      <c r="AA46" s="232"/>
      <c r="AB46" s="232"/>
      <c r="AC46" s="233"/>
      <c r="AD46" s="224"/>
      <c r="AE46" s="224"/>
    </row>
    <row r="47" spans="1:31" s="225" customFormat="1" ht="12.75" x14ac:dyDescent="0.2">
      <c r="A47" s="240" t="s">
        <v>131</v>
      </c>
      <c r="B47" s="323">
        <f>IF(B$13="Deploy",B$36,IF($B152&gt;=0.9, B$36,B$36*$B152))</f>
        <v>9.6</v>
      </c>
      <c r="C47" s="323">
        <f t="shared" ref="C47:N47" si="22">IF(C$13="Deploy",C$36,IF($B152&gt;=0.9, C$36,C$36*$B152))</f>
        <v>9.6</v>
      </c>
      <c r="D47" s="323">
        <f t="shared" si="22"/>
        <v>3.1296439296439296</v>
      </c>
      <c r="E47" s="323">
        <f t="shared" si="22"/>
        <v>3.1296439296439296</v>
      </c>
      <c r="F47" s="323">
        <f t="shared" si="22"/>
        <v>3.1296439296439296</v>
      </c>
      <c r="G47" s="323">
        <f t="shared" si="22"/>
        <v>9.6</v>
      </c>
      <c r="H47" s="323">
        <f t="shared" si="22"/>
        <v>9.6</v>
      </c>
      <c r="I47" s="323">
        <f t="shared" si="22"/>
        <v>9.6</v>
      </c>
      <c r="J47" s="323">
        <f t="shared" si="22"/>
        <v>3.1296439296439296</v>
      </c>
      <c r="K47" s="323">
        <f t="shared" si="22"/>
        <v>3.1296439296439296</v>
      </c>
      <c r="L47" s="323">
        <f t="shared" si="22"/>
        <v>3.1296439296439296</v>
      </c>
      <c r="M47" s="323">
        <f t="shared" si="22"/>
        <v>3.1296439296439296</v>
      </c>
      <c r="N47" s="323">
        <f t="shared" si="22"/>
        <v>3.1296439296439296</v>
      </c>
      <c r="O47" s="232"/>
      <c r="P47" s="232"/>
      <c r="Q47" s="232"/>
      <c r="R47" s="232"/>
      <c r="S47" s="232"/>
      <c r="T47" s="232"/>
      <c r="U47" s="232"/>
      <c r="V47" s="232"/>
      <c r="W47" s="232"/>
      <c r="X47" s="232"/>
      <c r="Y47" s="232"/>
      <c r="Z47" s="232"/>
      <c r="AA47" s="232"/>
      <c r="AB47" s="232"/>
      <c r="AC47" s="233"/>
      <c r="AD47" s="224"/>
      <c r="AE47" s="224"/>
    </row>
    <row r="48" spans="1:31" s="225" customFormat="1" ht="12.75" x14ac:dyDescent="0.2">
      <c r="A48" s="240" t="s">
        <v>132</v>
      </c>
      <c r="B48" s="323">
        <f t="shared" ref="B48:N48" si="23">IF($B153&gt;=0.9, B$36,B$36*$B153)</f>
        <v>9.6</v>
      </c>
      <c r="C48" s="323">
        <f t="shared" si="23"/>
        <v>9.6</v>
      </c>
      <c r="D48" s="323">
        <f t="shared" si="23"/>
        <v>9.6</v>
      </c>
      <c r="E48" s="323">
        <f t="shared" si="23"/>
        <v>9.6</v>
      </c>
      <c r="F48" s="323">
        <f t="shared" si="23"/>
        <v>9.6</v>
      </c>
      <c r="G48" s="323">
        <f t="shared" si="23"/>
        <v>9.6</v>
      </c>
      <c r="H48" s="323">
        <f t="shared" si="23"/>
        <v>9.6</v>
      </c>
      <c r="I48" s="323">
        <f t="shared" si="23"/>
        <v>9.6</v>
      </c>
      <c r="J48" s="323">
        <f t="shared" si="23"/>
        <v>9.6</v>
      </c>
      <c r="K48" s="323">
        <f t="shared" si="23"/>
        <v>9.6</v>
      </c>
      <c r="L48" s="323">
        <f t="shared" si="23"/>
        <v>9.6</v>
      </c>
      <c r="M48" s="323">
        <f t="shared" si="23"/>
        <v>9.6</v>
      </c>
      <c r="N48" s="323">
        <f t="shared" si="23"/>
        <v>9.6</v>
      </c>
      <c r="O48" s="232"/>
      <c r="P48" s="232"/>
      <c r="Q48" s="232"/>
      <c r="R48" s="232"/>
      <c r="S48" s="232"/>
      <c r="T48" s="232"/>
      <c r="U48" s="232"/>
      <c r="V48" s="232"/>
      <c r="W48" s="232"/>
      <c r="X48" s="232"/>
      <c r="Y48" s="232"/>
      <c r="Z48" s="232"/>
      <c r="AA48" s="232"/>
      <c r="AB48" s="232"/>
      <c r="AC48" s="233"/>
      <c r="AD48" s="224"/>
      <c r="AE48" s="224"/>
    </row>
    <row r="49" spans="1:31" s="225" customFormat="1" ht="12.75" x14ac:dyDescent="0.2">
      <c r="A49" s="226" t="s">
        <v>133</v>
      </c>
      <c r="B49" s="227"/>
      <c r="C49" s="228"/>
      <c r="D49" s="228"/>
      <c r="E49" s="228"/>
      <c r="F49" s="228"/>
      <c r="G49" s="228"/>
      <c r="H49" s="228"/>
      <c r="I49" s="228"/>
      <c r="J49" s="229"/>
      <c r="K49" s="229"/>
      <c r="L49" s="228"/>
      <c r="M49" s="228"/>
      <c r="N49" s="230"/>
      <c r="O49" s="239"/>
      <c r="P49" s="237"/>
      <c r="Q49" s="238"/>
      <c r="R49" s="236"/>
      <c r="S49" s="236"/>
      <c r="T49" s="236"/>
      <c r="U49" s="236"/>
      <c r="V49" s="236"/>
      <c r="W49" s="236"/>
      <c r="X49" s="236"/>
      <c r="Y49" s="236"/>
      <c r="Z49" s="236"/>
      <c r="AA49" s="236"/>
      <c r="AB49" s="236"/>
      <c r="AC49" s="236"/>
      <c r="AD49" s="235"/>
      <c r="AE49" s="224"/>
    </row>
    <row r="50" spans="1:31" x14ac:dyDescent="0.2">
      <c r="A50" s="296" t="s">
        <v>134</v>
      </c>
      <c r="B50" s="67">
        <v>9</v>
      </c>
      <c r="C50" s="67">
        <v>9</v>
      </c>
      <c r="D50" s="67">
        <v>9</v>
      </c>
      <c r="E50" s="67">
        <v>9</v>
      </c>
      <c r="F50" s="67">
        <v>9</v>
      </c>
      <c r="G50" s="67">
        <v>9</v>
      </c>
      <c r="H50" s="67">
        <v>9</v>
      </c>
      <c r="I50" s="67">
        <v>9</v>
      </c>
      <c r="J50" s="67">
        <v>9</v>
      </c>
      <c r="K50" s="67">
        <v>9</v>
      </c>
      <c r="L50" s="67">
        <v>9</v>
      </c>
      <c r="M50" s="67">
        <v>9</v>
      </c>
      <c r="N50" s="67">
        <v>9</v>
      </c>
    </row>
    <row r="51" spans="1:31" x14ac:dyDescent="0.2">
      <c r="A51" s="66" t="s">
        <v>135</v>
      </c>
      <c r="B51" s="67">
        <f t="shared" ref="B51:N51" si="24">ROUND(1*B50,2)</f>
        <v>9</v>
      </c>
      <c r="C51" s="67">
        <f t="shared" si="24"/>
        <v>9</v>
      </c>
      <c r="D51" s="67">
        <f t="shared" si="24"/>
        <v>9</v>
      </c>
      <c r="E51" s="67">
        <f t="shared" si="24"/>
        <v>9</v>
      </c>
      <c r="F51" s="67">
        <f t="shared" si="24"/>
        <v>9</v>
      </c>
      <c r="G51" s="67">
        <f t="shared" si="24"/>
        <v>9</v>
      </c>
      <c r="H51" s="67">
        <f t="shared" si="24"/>
        <v>9</v>
      </c>
      <c r="I51" s="67">
        <f t="shared" si="24"/>
        <v>9</v>
      </c>
      <c r="J51" s="67">
        <f t="shared" si="24"/>
        <v>9</v>
      </c>
      <c r="K51" s="67">
        <f t="shared" si="24"/>
        <v>9</v>
      </c>
      <c r="L51" s="67">
        <f t="shared" si="24"/>
        <v>9</v>
      </c>
      <c r="M51" s="67">
        <f t="shared" si="24"/>
        <v>9</v>
      </c>
      <c r="N51" s="67">
        <f t="shared" si="24"/>
        <v>9</v>
      </c>
    </row>
    <row r="52" spans="1:31" s="30" customFormat="1" x14ac:dyDescent="0.2">
      <c r="A52" s="90" t="s">
        <v>136</v>
      </c>
      <c r="B52" s="68">
        <v>0</v>
      </c>
      <c r="C52" s="68">
        <v>0</v>
      </c>
      <c r="D52" s="68">
        <v>0</v>
      </c>
      <c r="E52" s="68">
        <v>0</v>
      </c>
      <c r="F52" s="68">
        <v>0</v>
      </c>
      <c r="G52" s="68">
        <v>0</v>
      </c>
      <c r="H52" s="68">
        <v>0</v>
      </c>
      <c r="I52" s="68">
        <v>0</v>
      </c>
      <c r="J52" s="68">
        <v>0</v>
      </c>
      <c r="K52" s="68">
        <v>0</v>
      </c>
      <c r="L52" s="68">
        <v>0</v>
      </c>
      <c r="M52" s="68">
        <v>0</v>
      </c>
      <c r="N52" s="68">
        <v>0</v>
      </c>
    </row>
    <row r="53" spans="1:31" s="30" customFormat="1" x14ac:dyDescent="0.2">
      <c r="A53" s="64" t="s">
        <v>137</v>
      </c>
      <c r="B53" s="68">
        <v>0</v>
      </c>
      <c r="C53" s="68">
        <v>0</v>
      </c>
      <c r="D53" s="68">
        <v>0</v>
      </c>
      <c r="E53" s="68">
        <v>0</v>
      </c>
      <c r="F53" s="68">
        <v>0</v>
      </c>
      <c r="G53" s="68">
        <v>0</v>
      </c>
      <c r="H53" s="68">
        <v>0</v>
      </c>
      <c r="I53" s="68">
        <v>0</v>
      </c>
      <c r="J53" s="68">
        <v>0</v>
      </c>
      <c r="K53" s="68">
        <v>0</v>
      </c>
      <c r="L53" s="68">
        <v>0</v>
      </c>
      <c r="M53" s="68">
        <v>0</v>
      </c>
      <c r="N53" s="68">
        <v>0</v>
      </c>
    </row>
    <row r="54" spans="1:31" s="30" customFormat="1" ht="12.75" x14ac:dyDescent="0.2">
      <c r="A54" s="33" t="s">
        <v>138</v>
      </c>
      <c r="B54" s="39"/>
      <c r="C54" s="40"/>
      <c r="D54" s="40"/>
      <c r="E54" s="40"/>
      <c r="F54" s="40"/>
      <c r="G54" s="40"/>
      <c r="H54" s="40"/>
      <c r="I54" s="40"/>
      <c r="J54" s="40"/>
      <c r="K54" s="40"/>
      <c r="L54" s="40"/>
      <c r="M54" s="58"/>
      <c r="N54" s="111"/>
    </row>
    <row r="55" spans="1:31" x14ac:dyDescent="0.2">
      <c r="A55" s="19" t="s">
        <v>139</v>
      </c>
      <c r="B55" s="41">
        <f t="shared" ref="B55:M55" si="25">$B$95</f>
        <v>17</v>
      </c>
      <c r="C55" s="41">
        <f t="shared" si="25"/>
        <v>17</v>
      </c>
      <c r="D55" s="41">
        <f t="shared" si="25"/>
        <v>17</v>
      </c>
      <c r="E55" s="41">
        <f t="shared" si="25"/>
        <v>17</v>
      </c>
      <c r="F55" s="41">
        <f t="shared" si="25"/>
        <v>17</v>
      </c>
      <c r="G55" s="41">
        <f t="shared" si="25"/>
        <v>17</v>
      </c>
      <c r="H55" s="41">
        <f t="shared" si="25"/>
        <v>17</v>
      </c>
      <c r="I55" s="41">
        <f t="shared" si="25"/>
        <v>17</v>
      </c>
      <c r="J55" s="41">
        <f t="shared" si="25"/>
        <v>17</v>
      </c>
      <c r="K55" s="41">
        <f t="shared" si="25"/>
        <v>17</v>
      </c>
      <c r="L55" s="41">
        <f t="shared" si="25"/>
        <v>17</v>
      </c>
      <c r="M55" s="41">
        <f t="shared" si="25"/>
        <v>17</v>
      </c>
      <c r="N55" s="112">
        <f>$B$96</f>
        <v>17</v>
      </c>
    </row>
    <row r="56" spans="1:31" x14ac:dyDescent="0.2">
      <c r="A56" s="42" t="s">
        <v>140</v>
      </c>
      <c r="B56" s="43">
        <f t="shared" ref="B56:M56" si="26">ROUNDUP(IF(B$13="Deploy",MAX((B$89/100)*$B96,$B96),(B$89/100)*$B96),0)</f>
        <v>17</v>
      </c>
      <c r="C56" s="43">
        <f t="shared" si="26"/>
        <v>17</v>
      </c>
      <c r="D56" s="43">
        <f t="shared" si="26"/>
        <v>16</v>
      </c>
      <c r="E56" s="43">
        <f t="shared" si="26"/>
        <v>16</v>
      </c>
      <c r="F56" s="43">
        <f t="shared" si="26"/>
        <v>14</v>
      </c>
      <c r="G56" s="43">
        <f t="shared" si="26"/>
        <v>17</v>
      </c>
      <c r="H56" s="43">
        <f t="shared" si="26"/>
        <v>17</v>
      </c>
      <c r="I56" s="43">
        <f t="shared" si="26"/>
        <v>17</v>
      </c>
      <c r="J56" s="43">
        <f t="shared" si="26"/>
        <v>16</v>
      </c>
      <c r="K56" s="43">
        <f t="shared" si="26"/>
        <v>16</v>
      </c>
      <c r="L56" s="43">
        <f t="shared" si="26"/>
        <v>14</v>
      </c>
      <c r="M56" s="43">
        <f t="shared" si="26"/>
        <v>14</v>
      </c>
      <c r="N56" s="43">
        <f>ROUNDUP(IF(N$13="Deploy",MAX((N$89/100)*$B97,$B97),(N$89/100)*$B97),0)</f>
        <v>7</v>
      </c>
    </row>
    <row r="57" spans="1:31" x14ac:dyDescent="0.2">
      <c r="A57" s="66" t="s">
        <v>141</v>
      </c>
      <c r="B57" s="69">
        <f>B55</f>
        <v>17</v>
      </c>
      <c r="C57" s="69">
        <f t="shared" ref="C57:N58" si="27">C55</f>
        <v>17</v>
      </c>
      <c r="D57" s="69">
        <f t="shared" si="27"/>
        <v>17</v>
      </c>
      <c r="E57" s="69">
        <f t="shared" si="27"/>
        <v>17</v>
      </c>
      <c r="F57" s="69">
        <f t="shared" si="27"/>
        <v>17</v>
      </c>
      <c r="G57" s="69">
        <f t="shared" si="27"/>
        <v>17</v>
      </c>
      <c r="H57" s="69">
        <f t="shared" si="27"/>
        <v>17</v>
      </c>
      <c r="I57" s="69">
        <f t="shared" si="27"/>
        <v>17</v>
      </c>
      <c r="J57" s="69">
        <f t="shared" si="27"/>
        <v>17</v>
      </c>
      <c r="K57" s="69">
        <f t="shared" si="27"/>
        <v>17</v>
      </c>
      <c r="L57" s="69">
        <f t="shared" si="27"/>
        <v>17</v>
      </c>
      <c r="M57" s="69">
        <f t="shared" si="27"/>
        <v>17</v>
      </c>
      <c r="N57" s="69">
        <f t="shared" si="27"/>
        <v>17</v>
      </c>
    </row>
    <row r="58" spans="1:31" x14ac:dyDescent="0.2">
      <c r="A58" s="78" t="s">
        <v>142</v>
      </c>
      <c r="B58" s="79">
        <f>C58</f>
        <v>16</v>
      </c>
      <c r="C58" s="79">
        <f>D58</f>
        <v>16</v>
      </c>
      <c r="D58" s="79">
        <f t="shared" si="27"/>
        <v>16</v>
      </c>
      <c r="E58" s="79">
        <f t="shared" si="27"/>
        <v>16</v>
      </c>
      <c r="F58" s="79">
        <f t="shared" si="27"/>
        <v>14</v>
      </c>
      <c r="G58" s="79">
        <f t="shared" si="27"/>
        <v>17</v>
      </c>
      <c r="H58" s="79">
        <f t="shared" si="27"/>
        <v>17</v>
      </c>
      <c r="I58" s="79">
        <f t="shared" si="27"/>
        <v>17</v>
      </c>
      <c r="J58" s="79">
        <f t="shared" si="27"/>
        <v>16</v>
      </c>
      <c r="K58" s="79">
        <f t="shared" si="27"/>
        <v>16</v>
      </c>
      <c r="L58" s="79">
        <f t="shared" si="27"/>
        <v>14</v>
      </c>
      <c r="M58" s="79">
        <f t="shared" si="27"/>
        <v>14</v>
      </c>
      <c r="N58" s="79">
        <f t="shared" si="27"/>
        <v>7</v>
      </c>
    </row>
    <row r="59" spans="1:31" s="21" customFormat="1" x14ac:dyDescent="0.2">
      <c r="A59" s="42" t="str">
        <f t="shared" ref="A59:A74" si="28">A99</f>
        <v>&gt; L4 Pilots</v>
      </c>
      <c r="B59" s="197">
        <f t="shared" ref="B59:N59" si="29">ROUNDUP(IF(B$13="Deploy",MAX((B$89/100)*$B99,$B99),(B$89/100)*$B99),0)</f>
        <v>5</v>
      </c>
      <c r="C59" s="43">
        <f t="shared" si="29"/>
        <v>5</v>
      </c>
      <c r="D59" s="43">
        <f t="shared" si="29"/>
        <v>5</v>
      </c>
      <c r="E59" s="43">
        <f t="shared" si="29"/>
        <v>5</v>
      </c>
      <c r="F59" s="43">
        <f t="shared" si="29"/>
        <v>5</v>
      </c>
      <c r="G59" s="43">
        <f t="shared" si="29"/>
        <v>5</v>
      </c>
      <c r="H59" s="43">
        <f t="shared" si="29"/>
        <v>5</v>
      </c>
      <c r="I59" s="43">
        <f t="shared" si="29"/>
        <v>5</v>
      </c>
      <c r="J59" s="43">
        <f t="shared" si="29"/>
        <v>5</v>
      </c>
      <c r="K59" s="43">
        <f t="shared" si="29"/>
        <v>5</v>
      </c>
      <c r="L59" s="43">
        <f t="shared" si="29"/>
        <v>5</v>
      </c>
      <c r="M59" s="43">
        <f t="shared" si="29"/>
        <v>4</v>
      </c>
      <c r="N59" s="43">
        <f t="shared" si="29"/>
        <v>2</v>
      </c>
    </row>
    <row r="60" spans="1:31" x14ac:dyDescent="0.2">
      <c r="A60" s="42" t="str">
        <f t="shared" si="28"/>
        <v>&gt; L3 Pilots</v>
      </c>
      <c r="B60" s="197">
        <f t="shared" ref="B60:N60" si="30">ROUNDUP(IF(B$13="Deploy",MAX((B$89/100)*$B100,$B100),(B$89/100)*$B100),0)</f>
        <v>7</v>
      </c>
      <c r="C60" s="43">
        <f t="shared" si="30"/>
        <v>7</v>
      </c>
      <c r="D60" s="43">
        <f t="shared" si="30"/>
        <v>7</v>
      </c>
      <c r="E60" s="43">
        <f t="shared" si="30"/>
        <v>7</v>
      </c>
      <c r="F60" s="43">
        <f t="shared" si="30"/>
        <v>6</v>
      </c>
      <c r="G60" s="43">
        <f t="shared" si="30"/>
        <v>7</v>
      </c>
      <c r="H60" s="43">
        <f t="shared" si="30"/>
        <v>7</v>
      </c>
      <c r="I60" s="43">
        <f t="shared" si="30"/>
        <v>7</v>
      </c>
      <c r="J60" s="43">
        <f t="shared" si="30"/>
        <v>7</v>
      </c>
      <c r="K60" s="43">
        <f t="shared" si="30"/>
        <v>7</v>
      </c>
      <c r="L60" s="43">
        <f t="shared" si="30"/>
        <v>6</v>
      </c>
      <c r="M60" s="43">
        <f t="shared" si="30"/>
        <v>6</v>
      </c>
      <c r="N60" s="43">
        <f t="shared" si="30"/>
        <v>3</v>
      </c>
    </row>
    <row r="61" spans="1:31" x14ac:dyDescent="0.2">
      <c r="A61" s="42" t="str">
        <f t="shared" si="28"/>
        <v>&gt; L2 Pilots</v>
      </c>
      <c r="B61" s="197">
        <f t="shared" ref="B61:N61" si="31">ROUNDUP(IF(B$13="Deploy",MAX((B$89/100)*$B101,$B101),(B$89/100)*$B101),0)</f>
        <v>12</v>
      </c>
      <c r="C61" s="43">
        <f t="shared" si="31"/>
        <v>12</v>
      </c>
      <c r="D61" s="43">
        <f t="shared" si="31"/>
        <v>12</v>
      </c>
      <c r="E61" s="43">
        <f t="shared" si="31"/>
        <v>12</v>
      </c>
      <c r="F61" s="43">
        <f t="shared" si="31"/>
        <v>10</v>
      </c>
      <c r="G61" s="43">
        <f t="shared" si="31"/>
        <v>12</v>
      </c>
      <c r="H61" s="43">
        <f t="shared" si="31"/>
        <v>12</v>
      </c>
      <c r="I61" s="43">
        <f t="shared" si="31"/>
        <v>12</v>
      </c>
      <c r="J61" s="43">
        <f t="shared" si="31"/>
        <v>12</v>
      </c>
      <c r="K61" s="43">
        <f t="shared" si="31"/>
        <v>12</v>
      </c>
      <c r="L61" s="43">
        <f t="shared" si="31"/>
        <v>10</v>
      </c>
      <c r="M61" s="43">
        <f t="shared" si="31"/>
        <v>10</v>
      </c>
      <c r="N61" s="43">
        <f t="shared" si="31"/>
        <v>5</v>
      </c>
    </row>
    <row r="62" spans="1:31" x14ac:dyDescent="0.2">
      <c r="A62" s="42" t="str">
        <f t="shared" si="28"/>
        <v>&gt; L1 Pilots</v>
      </c>
      <c r="B62" s="197">
        <f t="shared" ref="B62:N62" si="32">ROUNDUP(IF(B$13="Deploy",MAX((B$89/100)*$B102,$B102),(B$89/100)*$B102),0)</f>
        <v>17</v>
      </c>
      <c r="C62" s="43">
        <f t="shared" si="32"/>
        <v>17</v>
      </c>
      <c r="D62" s="43">
        <f t="shared" si="32"/>
        <v>16</v>
      </c>
      <c r="E62" s="43">
        <f t="shared" si="32"/>
        <v>16</v>
      </c>
      <c r="F62" s="43">
        <f t="shared" si="32"/>
        <v>14</v>
      </c>
      <c r="G62" s="43">
        <f t="shared" si="32"/>
        <v>17</v>
      </c>
      <c r="H62" s="43">
        <f t="shared" si="32"/>
        <v>17</v>
      </c>
      <c r="I62" s="43">
        <f t="shared" si="32"/>
        <v>17</v>
      </c>
      <c r="J62" s="43">
        <f t="shared" si="32"/>
        <v>16</v>
      </c>
      <c r="K62" s="43">
        <f t="shared" si="32"/>
        <v>16</v>
      </c>
      <c r="L62" s="43">
        <f t="shared" si="32"/>
        <v>14</v>
      </c>
      <c r="M62" s="43">
        <f t="shared" si="32"/>
        <v>14</v>
      </c>
      <c r="N62" s="43">
        <f t="shared" si="32"/>
        <v>7</v>
      </c>
    </row>
    <row r="63" spans="1:31" x14ac:dyDescent="0.2">
      <c r="A63" s="42" t="str">
        <f t="shared" si="28"/>
        <v>&gt; L4 WSO</v>
      </c>
      <c r="B63" s="197">
        <f t="shared" ref="B63:N63" si="33">ROUNDUP(IF(B$13="Deploy",MAX((B$89/100)*$B103,$B103),(B$89/100)*$B103),0)</f>
        <v>5</v>
      </c>
      <c r="C63" s="43">
        <f t="shared" si="33"/>
        <v>5</v>
      </c>
      <c r="D63" s="43">
        <f t="shared" si="33"/>
        <v>5</v>
      </c>
      <c r="E63" s="43">
        <f t="shared" si="33"/>
        <v>5</v>
      </c>
      <c r="F63" s="43">
        <f t="shared" si="33"/>
        <v>5</v>
      </c>
      <c r="G63" s="43">
        <f t="shared" si="33"/>
        <v>5</v>
      </c>
      <c r="H63" s="43">
        <f t="shared" si="33"/>
        <v>5</v>
      </c>
      <c r="I63" s="43">
        <f t="shared" si="33"/>
        <v>5</v>
      </c>
      <c r="J63" s="43">
        <f t="shared" si="33"/>
        <v>5</v>
      </c>
      <c r="K63" s="43">
        <f t="shared" si="33"/>
        <v>5</v>
      </c>
      <c r="L63" s="43">
        <f t="shared" si="33"/>
        <v>5</v>
      </c>
      <c r="M63" s="43">
        <f t="shared" si="33"/>
        <v>4</v>
      </c>
      <c r="N63" s="43">
        <f t="shared" si="33"/>
        <v>2</v>
      </c>
    </row>
    <row r="64" spans="1:31" x14ac:dyDescent="0.2">
      <c r="A64" s="42" t="str">
        <f t="shared" si="28"/>
        <v>&gt; L3 WSO</v>
      </c>
      <c r="B64" s="197">
        <f t="shared" ref="B64:N64" si="34">ROUNDUP(IF(B$13="Deploy",MAX((B$89/100)*$B104,$B104),(B$89/100)*$B104),0)</f>
        <v>7</v>
      </c>
      <c r="C64" s="43">
        <f t="shared" si="34"/>
        <v>7</v>
      </c>
      <c r="D64" s="43">
        <f t="shared" si="34"/>
        <v>7</v>
      </c>
      <c r="E64" s="43">
        <f t="shared" si="34"/>
        <v>7</v>
      </c>
      <c r="F64" s="43">
        <f t="shared" si="34"/>
        <v>6</v>
      </c>
      <c r="G64" s="43">
        <f t="shared" si="34"/>
        <v>7</v>
      </c>
      <c r="H64" s="43">
        <f t="shared" si="34"/>
        <v>7</v>
      </c>
      <c r="I64" s="43">
        <f t="shared" si="34"/>
        <v>7</v>
      </c>
      <c r="J64" s="43">
        <f t="shared" si="34"/>
        <v>7</v>
      </c>
      <c r="K64" s="43">
        <f t="shared" si="34"/>
        <v>7</v>
      </c>
      <c r="L64" s="43">
        <f t="shared" si="34"/>
        <v>6</v>
      </c>
      <c r="M64" s="43">
        <f t="shared" si="34"/>
        <v>6</v>
      </c>
      <c r="N64" s="43">
        <f t="shared" si="34"/>
        <v>3</v>
      </c>
    </row>
    <row r="65" spans="1:14" x14ac:dyDescent="0.2">
      <c r="A65" s="42" t="str">
        <f t="shared" si="28"/>
        <v>&gt; L2 WSO</v>
      </c>
      <c r="B65" s="197">
        <f t="shared" ref="B65:N65" si="35">ROUNDUP(IF(B$13="Deploy",MAX((B$89/100)*$B105,$B105),(B$89/100)*$B105),0)</f>
        <v>12</v>
      </c>
      <c r="C65" s="43">
        <f t="shared" si="35"/>
        <v>12</v>
      </c>
      <c r="D65" s="43">
        <f t="shared" si="35"/>
        <v>12</v>
      </c>
      <c r="E65" s="43">
        <f t="shared" si="35"/>
        <v>12</v>
      </c>
      <c r="F65" s="43">
        <f t="shared" si="35"/>
        <v>10</v>
      </c>
      <c r="G65" s="43">
        <f t="shared" si="35"/>
        <v>12</v>
      </c>
      <c r="H65" s="43">
        <f t="shared" si="35"/>
        <v>12</v>
      </c>
      <c r="I65" s="43">
        <f t="shared" si="35"/>
        <v>12</v>
      </c>
      <c r="J65" s="43">
        <f t="shared" si="35"/>
        <v>12</v>
      </c>
      <c r="K65" s="43">
        <f t="shared" si="35"/>
        <v>12</v>
      </c>
      <c r="L65" s="43">
        <f t="shared" si="35"/>
        <v>10</v>
      </c>
      <c r="M65" s="43">
        <f t="shared" si="35"/>
        <v>10</v>
      </c>
      <c r="N65" s="43">
        <f t="shared" si="35"/>
        <v>5</v>
      </c>
    </row>
    <row r="66" spans="1:14" x14ac:dyDescent="0.2">
      <c r="A66" s="42" t="str">
        <f t="shared" si="28"/>
        <v>&gt; L1 WSO</v>
      </c>
      <c r="B66" s="197">
        <f t="shared" ref="B66:N66" si="36">ROUNDUP(IF(B$13="Deploy",MAX((B$89/100)*$B106,$B106),(B$89/100)*$B106),0)</f>
        <v>17</v>
      </c>
      <c r="C66" s="43">
        <f t="shared" si="36"/>
        <v>17</v>
      </c>
      <c r="D66" s="43">
        <f t="shared" si="36"/>
        <v>16</v>
      </c>
      <c r="E66" s="43">
        <f t="shared" si="36"/>
        <v>16</v>
      </c>
      <c r="F66" s="43">
        <f t="shared" si="36"/>
        <v>14</v>
      </c>
      <c r="G66" s="43">
        <f t="shared" si="36"/>
        <v>17</v>
      </c>
      <c r="H66" s="43">
        <f t="shared" si="36"/>
        <v>17</v>
      </c>
      <c r="I66" s="43">
        <f t="shared" si="36"/>
        <v>17</v>
      </c>
      <c r="J66" s="43">
        <f t="shared" si="36"/>
        <v>16</v>
      </c>
      <c r="K66" s="43">
        <f t="shared" si="36"/>
        <v>16</v>
      </c>
      <c r="L66" s="43">
        <f t="shared" si="36"/>
        <v>14</v>
      </c>
      <c r="M66" s="43">
        <f t="shared" si="36"/>
        <v>14</v>
      </c>
      <c r="N66" s="43">
        <f t="shared" si="36"/>
        <v>7</v>
      </c>
    </row>
    <row r="67" spans="1:14" x14ac:dyDescent="0.2">
      <c r="A67" s="42" t="str">
        <f t="shared" si="28"/>
        <v>NVG Qual - Pilot</v>
      </c>
      <c r="B67" s="197">
        <f t="shared" ref="B67:M67" si="37">ROUNDUP(IF(B$13="Deploy",MAX((B$89/100)*$B107,$B107),(B$89/100)*$B107),0)</f>
        <v>12</v>
      </c>
      <c r="C67" s="43">
        <f t="shared" si="37"/>
        <v>12</v>
      </c>
      <c r="D67" s="43">
        <f t="shared" si="37"/>
        <v>12</v>
      </c>
      <c r="E67" s="43">
        <f t="shared" si="37"/>
        <v>12</v>
      </c>
      <c r="F67" s="43">
        <f t="shared" si="37"/>
        <v>10</v>
      </c>
      <c r="G67" s="43">
        <f t="shared" si="37"/>
        <v>12</v>
      </c>
      <c r="H67" s="43">
        <f t="shared" si="37"/>
        <v>12</v>
      </c>
      <c r="I67" s="43">
        <f t="shared" si="37"/>
        <v>12</v>
      </c>
      <c r="J67" s="43">
        <f t="shared" si="37"/>
        <v>12</v>
      </c>
      <c r="K67" s="43">
        <f t="shared" si="37"/>
        <v>12</v>
      </c>
      <c r="L67" s="43">
        <f t="shared" si="37"/>
        <v>10</v>
      </c>
      <c r="M67" s="43">
        <f t="shared" si="37"/>
        <v>10</v>
      </c>
      <c r="N67" s="43">
        <v>0</v>
      </c>
    </row>
    <row r="68" spans="1:14" x14ac:dyDescent="0.2">
      <c r="A68" s="42" t="str">
        <f t="shared" si="28"/>
        <v>NVG Qual - WSO</v>
      </c>
      <c r="B68" s="197">
        <f t="shared" ref="B68:M68" si="38">ROUNDUP(IF(B$13="Deploy",MAX((B$89/100)*$B108,$B108),(B$89/100)*$B108),0)</f>
        <v>12</v>
      </c>
      <c r="C68" s="43">
        <f t="shared" si="38"/>
        <v>12</v>
      </c>
      <c r="D68" s="43">
        <f t="shared" si="38"/>
        <v>12</v>
      </c>
      <c r="E68" s="43">
        <f t="shared" si="38"/>
        <v>12</v>
      </c>
      <c r="F68" s="43">
        <f t="shared" si="38"/>
        <v>10</v>
      </c>
      <c r="G68" s="43">
        <f t="shared" si="38"/>
        <v>12</v>
      </c>
      <c r="H68" s="43">
        <f t="shared" si="38"/>
        <v>12</v>
      </c>
      <c r="I68" s="43">
        <f t="shared" si="38"/>
        <v>12</v>
      </c>
      <c r="J68" s="43">
        <f t="shared" si="38"/>
        <v>12</v>
      </c>
      <c r="K68" s="43">
        <f t="shared" si="38"/>
        <v>12</v>
      </c>
      <c r="L68" s="43">
        <f t="shared" si="38"/>
        <v>10</v>
      </c>
      <c r="M68" s="43">
        <f t="shared" si="38"/>
        <v>10</v>
      </c>
      <c r="N68" s="43">
        <f>ROUNDUP(IF(N$13="Deploy",MAX((N$89/100)*$B108,$B108),(N$89/100)*$B108),0)</f>
        <v>5</v>
      </c>
    </row>
    <row r="69" spans="1:14" x14ac:dyDescent="0.2">
      <c r="A69" s="42" t="str">
        <f t="shared" si="28"/>
        <v>JHMCS Qual - Pilot</v>
      </c>
      <c r="B69" s="197">
        <f t="shared" ref="B69:M69" si="39">ROUNDUP(IF(B$13="Deploy",MAX((B$89/100)*$B109,$B109),(B$89/100)*$B109),0)</f>
        <v>12</v>
      </c>
      <c r="C69" s="43">
        <f t="shared" si="39"/>
        <v>12</v>
      </c>
      <c r="D69" s="43">
        <f t="shared" si="39"/>
        <v>12</v>
      </c>
      <c r="E69" s="43">
        <f t="shared" si="39"/>
        <v>12</v>
      </c>
      <c r="F69" s="43">
        <f t="shared" si="39"/>
        <v>10</v>
      </c>
      <c r="G69" s="43">
        <f t="shared" si="39"/>
        <v>12</v>
      </c>
      <c r="H69" s="43">
        <f t="shared" si="39"/>
        <v>12</v>
      </c>
      <c r="I69" s="43">
        <f t="shared" si="39"/>
        <v>12</v>
      </c>
      <c r="J69" s="43">
        <f t="shared" si="39"/>
        <v>12</v>
      </c>
      <c r="K69" s="43">
        <f t="shared" si="39"/>
        <v>12</v>
      </c>
      <c r="L69" s="43">
        <f t="shared" si="39"/>
        <v>10</v>
      </c>
      <c r="M69" s="43">
        <f t="shared" si="39"/>
        <v>10</v>
      </c>
      <c r="N69" s="43">
        <f>ROUNDUP(IF(N$13="Deploy",MAX((N$89/100)*$B109,$B109),(N$89/100)*$B109),0)</f>
        <v>5</v>
      </c>
    </row>
    <row r="70" spans="1:14" x14ac:dyDescent="0.2">
      <c r="A70" s="42" t="str">
        <f t="shared" si="28"/>
        <v>JMPS SME</v>
      </c>
      <c r="B70" s="197">
        <f t="shared" ref="B70:M70" si="40">ROUNDUP(IF(B$13="Deploy",MAX((B$89/100)*$B110,$B110),(B$89/100)*$B110),0)</f>
        <v>3</v>
      </c>
      <c r="C70" s="43">
        <f t="shared" si="40"/>
        <v>3</v>
      </c>
      <c r="D70" s="43">
        <f t="shared" si="40"/>
        <v>3</v>
      </c>
      <c r="E70" s="43">
        <f t="shared" si="40"/>
        <v>3</v>
      </c>
      <c r="F70" s="43">
        <f t="shared" si="40"/>
        <v>3</v>
      </c>
      <c r="G70" s="43">
        <f t="shared" si="40"/>
        <v>3</v>
      </c>
      <c r="H70" s="43">
        <f t="shared" si="40"/>
        <v>3</v>
      </c>
      <c r="I70" s="43">
        <f t="shared" si="40"/>
        <v>3</v>
      </c>
      <c r="J70" s="43">
        <f t="shared" si="40"/>
        <v>3</v>
      </c>
      <c r="K70" s="43">
        <f t="shared" si="40"/>
        <v>3</v>
      </c>
      <c r="L70" s="43">
        <f t="shared" si="40"/>
        <v>3</v>
      </c>
      <c r="M70" s="43">
        <f t="shared" si="40"/>
        <v>3</v>
      </c>
      <c r="N70" s="43">
        <v>0</v>
      </c>
    </row>
    <row r="71" spans="1:14" x14ac:dyDescent="0.2">
      <c r="A71" s="42" t="str">
        <f t="shared" si="28"/>
        <v xml:space="preserve">CVW STK LEAD </v>
      </c>
      <c r="B71" s="197">
        <f t="shared" ref="B71:M71" si="41">ROUNDUP(IF(B$13="Deploy",MAX((B$89/100)*$B111,$B111),(B$89/100)*$B111),0)</f>
        <v>3</v>
      </c>
      <c r="C71" s="197">
        <f t="shared" si="41"/>
        <v>3</v>
      </c>
      <c r="D71" s="197">
        <f t="shared" si="41"/>
        <v>3</v>
      </c>
      <c r="E71" s="197">
        <f t="shared" si="41"/>
        <v>3</v>
      </c>
      <c r="F71" s="197">
        <f t="shared" si="41"/>
        <v>3</v>
      </c>
      <c r="G71" s="197">
        <f t="shared" si="41"/>
        <v>3</v>
      </c>
      <c r="H71" s="197">
        <f t="shared" si="41"/>
        <v>3</v>
      </c>
      <c r="I71" s="197">
        <f t="shared" si="41"/>
        <v>3</v>
      </c>
      <c r="J71" s="197">
        <f t="shared" si="41"/>
        <v>3</v>
      </c>
      <c r="K71" s="197">
        <f t="shared" si="41"/>
        <v>3</v>
      </c>
      <c r="L71" s="197">
        <f t="shared" si="41"/>
        <v>3</v>
      </c>
      <c r="M71" s="197">
        <f t="shared" si="41"/>
        <v>3</v>
      </c>
      <c r="N71" s="197">
        <f>ROUNDUP(IF(N$13="Deploy",MAX((N$89/100)*$B111,$B111),(N$89/100)*$B111),0)</f>
        <v>2</v>
      </c>
    </row>
    <row r="72" spans="1:14" x14ac:dyDescent="0.2">
      <c r="A72" s="42" t="str">
        <f t="shared" si="28"/>
        <v>FAC(A) - Pilot</v>
      </c>
      <c r="B72" s="197">
        <f t="shared" ref="B72:M72" si="42">ROUNDUP(IF(B$13="Deploy",MAX((B$89/100)*$B112,$B112),(B$89/100)*$B112),0)</f>
        <v>4</v>
      </c>
      <c r="C72" s="197">
        <f t="shared" si="42"/>
        <v>4</v>
      </c>
      <c r="D72" s="197">
        <f t="shared" si="42"/>
        <v>4</v>
      </c>
      <c r="E72" s="197">
        <f t="shared" si="42"/>
        <v>4</v>
      </c>
      <c r="F72" s="197">
        <f t="shared" si="42"/>
        <v>4</v>
      </c>
      <c r="G72" s="197">
        <f t="shared" si="42"/>
        <v>4</v>
      </c>
      <c r="H72" s="197">
        <f t="shared" si="42"/>
        <v>4</v>
      </c>
      <c r="I72" s="197">
        <f t="shared" si="42"/>
        <v>4</v>
      </c>
      <c r="J72" s="197">
        <f t="shared" si="42"/>
        <v>4</v>
      </c>
      <c r="K72" s="197">
        <f t="shared" si="42"/>
        <v>4</v>
      </c>
      <c r="L72" s="197">
        <f t="shared" si="42"/>
        <v>4</v>
      </c>
      <c r="M72" s="197">
        <f t="shared" si="42"/>
        <v>4</v>
      </c>
      <c r="N72" s="197">
        <f>ROUNDUP(IF(N$13="Deploy",MAX((N$89/100)*$B112,$B112),(N$89/100)*$B112),0)</f>
        <v>2</v>
      </c>
    </row>
    <row r="73" spans="1:14" x14ac:dyDescent="0.2">
      <c r="A73" s="42" t="str">
        <f t="shared" si="28"/>
        <v>FAC(A) - WSO</v>
      </c>
      <c r="B73" s="43">
        <f t="shared" ref="B73:M73" si="43">ROUNDUP(IF(B$13="Deploy",MAX((B$89/100)*$B113,$B113),(B$89/100)*$B113),0)</f>
        <v>4</v>
      </c>
      <c r="C73" s="43">
        <f t="shared" si="43"/>
        <v>4</v>
      </c>
      <c r="D73" s="43">
        <f t="shared" si="43"/>
        <v>4</v>
      </c>
      <c r="E73" s="43">
        <f t="shared" si="43"/>
        <v>4</v>
      </c>
      <c r="F73" s="43">
        <f t="shared" si="43"/>
        <v>4</v>
      </c>
      <c r="G73" s="43">
        <f t="shared" si="43"/>
        <v>4</v>
      </c>
      <c r="H73" s="43">
        <f t="shared" si="43"/>
        <v>4</v>
      </c>
      <c r="I73" s="43">
        <f t="shared" si="43"/>
        <v>4</v>
      </c>
      <c r="J73" s="43">
        <f t="shared" si="43"/>
        <v>4</v>
      </c>
      <c r="K73" s="43">
        <f t="shared" si="43"/>
        <v>4</v>
      </c>
      <c r="L73" s="43">
        <f t="shared" si="43"/>
        <v>4</v>
      </c>
      <c r="M73" s="43">
        <f t="shared" si="43"/>
        <v>4</v>
      </c>
      <c r="N73" s="43">
        <f>ROUNDUP(IF(N$13="Deploy",MAX((N$89/100)*$B113,$B113),(N$89/100)*$B113),0)</f>
        <v>2</v>
      </c>
    </row>
    <row r="74" spans="1:14" x14ac:dyDescent="0.2">
      <c r="A74" s="42" t="str">
        <f t="shared" si="28"/>
        <v>Required Skilled Crews</v>
      </c>
      <c r="B74" s="43">
        <f t="shared" ref="B74:M74" si="44">ROUNDUP(IF(B$13="Deploy",MAX((B$89/100)*$B114,$B114),(B$89/100)*$B114),0)</f>
        <v>13</v>
      </c>
      <c r="C74" s="43">
        <f t="shared" si="44"/>
        <v>13</v>
      </c>
      <c r="D74" s="43">
        <f t="shared" si="44"/>
        <v>12</v>
      </c>
      <c r="E74" s="43">
        <f t="shared" si="44"/>
        <v>12</v>
      </c>
      <c r="F74" s="43">
        <f t="shared" si="44"/>
        <v>11</v>
      </c>
      <c r="G74" s="43">
        <f t="shared" si="44"/>
        <v>13</v>
      </c>
      <c r="H74" s="43">
        <f t="shared" si="44"/>
        <v>13</v>
      </c>
      <c r="I74" s="43">
        <f t="shared" si="44"/>
        <v>13</v>
      </c>
      <c r="J74" s="43">
        <f t="shared" si="44"/>
        <v>13</v>
      </c>
      <c r="K74" s="43">
        <f t="shared" si="44"/>
        <v>12</v>
      </c>
      <c r="L74" s="43">
        <f t="shared" si="44"/>
        <v>11</v>
      </c>
      <c r="M74" s="43">
        <f t="shared" si="44"/>
        <v>11</v>
      </c>
      <c r="N74" s="43">
        <f>ROUNDUP(IF(N$13="Deploy",MAX((N$89/100)*$B114,$B114),(N$89/100)*$B114),0)</f>
        <v>5</v>
      </c>
    </row>
    <row r="75" spans="1:14" ht="12.75" x14ac:dyDescent="0.2">
      <c r="A75" s="226" t="s">
        <v>143</v>
      </c>
      <c r="B75" s="280"/>
      <c r="C75" s="281"/>
      <c r="D75" s="281"/>
      <c r="E75" s="281"/>
      <c r="F75" s="281"/>
      <c r="G75" s="282"/>
      <c r="H75" s="282"/>
      <c r="I75" s="282"/>
      <c r="J75" s="282"/>
      <c r="K75" s="282"/>
      <c r="L75" s="282"/>
      <c r="M75" s="282"/>
      <c r="N75" s="285"/>
    </row>
    <row r="76" spans="1:14"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row>
    <row r="77" spans="1:14"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row>
    <row r="78" spans="1:14"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row>
    <row r="79" spans="1:14" x14ac:dyDescent="0.2">
      <c r="N79" s="130"/>
    </row>
    <row r="80" spans="1:14" x14ac:dyDescent="0.2">
      <c r="B80" s="30"/>
      <c r="C80" s="30"/>
      <c r="N80" s="21"/>
    </row>
    <row r="81" spans="1:14" x14ac:dyDescent="0.2">
      <c r="B81" s="30"/>
      <c r="C81" s="30"/>
      <c r="N81" s="21"/>
    </row>
    <row r="82" spans="1:14" ht="12.75" thickBot="1" x14ac:dyDescent="0.25">
      <c r="A82" s="14"/>
    </row>
    <row r="83" spans="1:14" ht="12.75" thickBot="1" x14ac:dyDescent="0.25">
      <c r="A83" s="455" t="s">
        <v>147</v>
      </c>
      <c r="B83" s="456"/>
      <c r="C83" s="456"/>
      <c r="D83" s="456"/>
      <c r="E83" s="456"/>
      <c r="F83" s="456"/>
      <c r="G83" s="456"/>
      <c r="H83" s="456"/>
      <c r="I83" s="456"/>
      <c r="J83" s="456"/>
      <c r="K83" s="456"/>
      <c r="L83" s="456"/>
      <c r="M83" s="456"/>
      <c r="N83" s="457"/>
    </row>
    <row r="84" spans="1:14" x14ac:dyDescent="0.2">
      <c r="A84" s="121" t="s">
        <v>148</v>
      </c>
      <c r="B84" s="122">
        <f t="shared" ref="B84:M84" si="45">MIN(100,B86+$B$90)</f>
        <v>100</v>
      </c>
      <c r="C84" s="122">
        <f t="shared" si="45"/>
        <v>100</v>
      </c>
      <c r="D84" s="122">
        <f t="shared" si="45"/>
        <v>99.65352133915421</v>
      </c>
      <c r="E84" s="122">
        <f t="shared" si="45"/>
        <v>99.65352133915421</v>
      </c>
      <c r="F84" s="122">
        <f t="shared" si="45"/>
        <v>88.65352133915421</v>
      </c>
      <c r="G84" s="122">
        <f t="shared" si="45"/>
        <v>100</v>
      </c>
      <c r="H84" s="122">
        <f t="shared" si="45"/>
        <v>100</v>
      </c>
      <c r="I84" s="122">
        <f t="shared" si="45"/>
        <v>100</v>
      </c>
      <c r="J84" s="122">
        <f t="shared" si="45"/>
        <v>100</v>
      </c>
      <c r="K84" s="122">
        <f t="shared" si="45"/>
        <v>99.65352133915421</v>
      </c>
      <c r="L84" s="122">
        <f t="shared" si="45"/>
        <v>88.65352133915421</v>
      </c>
      <c r="M84" s="138">
        <f t="shared" si="45"/>
        <v>87.65352133915421</v>
      </c>
      <c r="N84" s="141">
        <v>60.803436023597357</v>
      </c>
    </row>
    <row r="85" spans="1:14" x14ac:dyDescent="0.2">
      <c r="A85" s="44" t="s">
        <v>149</v>
      </c>
      <c r="B85" s="45">
        <f t="shared" ref="B85:M85" si="46">MIN(100,B86+$B$91)</f>
        <v>100</v>
      </c>
      <c r="C85" s="45">
        <f t="shared" si="46"/>
        <v>100</v>
      </c>
      <c r="D85" s="45">
        <f t="shared" si="46"/>
        <v>95.826760669577112</v>
      </c>
      <c r="E85" s="45">
        <f t="shared" si="46"/>
        <v>95.826760669577112</v>
      </c>
      <c r="F85" s="45">
        <f t="shared" si="46"/>
        <v>84.826760669577112</v>
      </c>
      <c r="G85" s="45">
        <f t="shared" si="46"/>
        <v>100</v>
      </c>
      <c r="H85" s="45">
        <f t="shared" si="46"/>
        <v>100</v>
      </c>
      <c r="I85" s="45">
        <f t="shared" si="46"/>
        <v>100</v>
      </c>
      <c r="J85" s="45">
        <f t="shared" si="46"/>
        <v>96.826760669577112</v>
      </c>
      <c r="K85" s="45">
        <f t="shared" si="46"/>
        <v>95.826760669577112</v>
      </c>
      <c r="L85" s="45">
        <f t="shared" si="46"/>
        <v>84.826760669577112</v>
      </c>
      <c r="M85" s="139">
        <f t="shared" si="46"/>
        <v>83.826760669577112</v>
      </c>
      <c r="N85" s="46">
        <v>48.901718011798678</v>
      </c>
    </row>
    <row r="86" spans="1:14" x14ac:dyDescent="0.2">
      <c r="A86" s="44" t="s">
        <v>150</v>
      </c>
      <c r="B86" s="103">
        <v>100</v>
      </c>
      <c r="C86" s="103">
        <v>100</v>
      </c>
      <c r="D86" s="103">
        <v>92</v>
      </c>
      <c r="E86" s="103">
        <v>92</v>
      </c>
      <c r="F86" s="103">
        <v>81</v>
      </c>
      <c r="G86" s="103">
        <v>100</v>
      </c>
      <c r="H86" s="103">
        <v>100</v>
      </c>
      <c r="I86" s="103">
        <v>100</v>
      </c>
      <c r="J86" s="103">
        <v>93</v>
      </c>
      <c r="K86" s="103">
        <v>92</v>
      </c>
      <c r="L86" s="103">
        <v>81</v>
      </c>
      <c r="M86" s="137">
        <v>80</v>
      </c>
      <c r="N86" s="104">
        <v>37</v>
      </c>
    </row>
    <row r="87" spans="1:14" x14ac:dyDescent="0.2">
      <c r="A87" s="44" t="s">
        <v>151</v>
      </c>
      <c r="B87" s="45">
        <f t="shared" ref="B87:M87" si="47">MIN(80,IF(B13="Deploy",80,MAX(0,B86-$B$91)))</f>
        <v>80</v>
      </c>
      <c r="C87" s="45">
        <f t="shared" si="47"/>
        <v>80</v>
      </c>
      <c r="D87" s="45">
        <f t="shared" si="47"/>
        <v>80</v>
      </c>
      <c r="E87" s="45">
        <f t="shared" si="47"/>
        <v>80</v>
      </c>
      <c r="F87" s="45">
        <f t="shared" si="47"/>
        <v>77.173239330422888</v>
      </c>
      <c r="G87" s="45">
        <f t="shared" si="47"/>
        <v>80</v>
      </c>
      <c r="H87" s="45">
        <f t="shared" si="47"/>
        <v>80</v>
      </c>
      <c r="I87" s="45">
        <f t="shared" si="47"/>
        <v>80</v>
      </c>
      <c r="J87" s="45">
        <f t="shared" si="47"/>
        <v>80</v>
      </c>
      <c r="K87" s="45">
        <f t="shared" si="47"/>
        <v>80</v>
      </c>
      <c r="L87" s="45">
        <f t="shared" si="47"/>
        <v>77.173239330422888</v>
      </c>
      <c r="M87" s="139">
        <f t="shared" si="47"/>
        <v>76.173239330422888</v>
      </c>
      <c r="N87" s="46">
        <v>25.098281988201322</v>
      </c>
    </row>
    <row r="88" spans="1:14" ht="12.75" thickBot="1" x14ac:dyDescent="0.25">
      <c r="A88" s="47" t="s">
        <v>152</v>
      </c>
      <c r="B88" s="48">
        <f t="shared" ref="B88:M88" si="48">MIN(60,IF(B14="Deploy",60,MAX(0,B86-$B$90)))</f>
        <v>60</v>
      </c>
      <c r="C88" s="48">
        <f t="shared" si="48"/>
        <v>60</v>
      </c>
      <c r="D88" s="48">
        <f t="shared" si="48"/>
        <v>60</v>
      </c>
      <c r="E88" s="48">
        <f t="shared" si="48"/>
        <v>60</v>
      </c>
      <c r="F88" s="48">
        <f t="shared" si="48"/>
        <v>60</v>
      </c>
      <c r="G88" s="48">
        <f t="shared" si="48"/>
        <v>60</v>
      </c>
      <c r="H88" s="48">
        <f t="shared" si="48"/>
        <v>60</v>
      </c>
      <c r="I88" s="48">
        <f t="shared" si="48"/>
        <v>60</v>
      </c>
      <c r="J88" s="48">
        <f t="shared" si="48"/>
        <v>60</v>
      </c>
      <c r="K88" s="48">
        <f t="shared" si="48"/>
        <v>60</v>
      </c>
      <c r="L88" s="48">
        <f t="shared" si="48"/>
        <v>60</v>
      </c>
      <c r="M88" s="140">
        <f t="shared" si="48"/>
        <v>60</v>
      </c>
      <c r="N88" s="49">
        <v>13.196563976402647</v>
      </c>
    </row>
    <row r="89" spans="1:14" ht="12.75" thickBot="1" x14ac:dyDescent="0.25">
      <c r="A89" s="152" t="s">
        <v>153</v>
      </c>
      <c r="B89" s="153">
        <v>100</v>
      </c>
      <c r="C89" s="153">
        <v>100</v>
      </c>
      <c r="D89" s="153">
        <v>92</v>
      </c>
      <c r="E89" s="153">
        <v>92</v>
      </c>
      <c r="F89" s="153">
        <v>81</v>
      </c>
      <c r="G89" s="153">
        <v>100</v>
      </c>
      <c r="H89" s="153">
        <v>100</v>
      </c>
      <c r="I89" s="153">
        <v>100</v>
      </c>
      <c r="J89" s="153">
        <v>93</v>
      </c>
      <c r="K89" s="153">
        <v>92</v>
      </c>
      <c r="L89" s="153">
        <v>81</v>
      </c>
      <c r="M89" s="154">
        <v>80</v>
      </c>
      <c r="N89" s="155">
        <v>37</v>
      </c>
    </row>
    <row r="90" spans="1:14" x14ac:dyDescent="0.2">
      <c r="A90" s="129" t="s">
        <v>154</v>
      </c>
      <c r="B90" s="106">
        <f t="array" ref="B90">SQRT(SUM(POWER(AVERAGE(B86:M86)-(B86:M86),2))/COUNT(B86:M86))*1</f>
        <v>7.6535213391542127</v>
      </c>
    </row>
    <row r="91" spans="1:14" ht="12.75" thickBot="1" x14ac:dyDescent="0.25">
      <c r="A91" s="119" t="s">
        <v>155</v>
      </c>
      <c r="B91" s="108">
        <f>B90/2</f>
        <v>3.8267606695771064</v>
      </c>
      <c r="N91" s="22"/>
    </row>
    <row r="92" spans="1:14" ht="12.75" thickBot="1" x14ac:dyDescent="0.25">
      <c r="A92" s="30"/>
      <c r="B92" s="30"/>
      <c r="C92" s="30"/>
      <c r="D92" s="30"/>
      <c r="E92" s="30"/>
      <c r="F92" s="30"/>
      <c r="G92" s="30"/>
      <c r="H92" s="30"/>
      <c r="I92" s="30"/>
      <c r="J92" s="30"/>
      <c r="K92" s="30"/>
      <c r="L92" s="30"/>
      <c r="M92" s="30"/>
    </row>
    <row r="93" spans="1:14" ht="12.75" thickBot="1" x14ac:dyDescent="0.25">
      <c r="A93" s="458" t="s">
        <v>156</v>
      </c>
      <c r="B93" s="459"/>
    </row>
    <row r="94" spans="1:14" ht="12.75" thickBot="1" x14ac:dyDescent="0.25">
      <c r="A94" s="439" t="s">
        <v>157</v>
      </c>
      <c r="B94" s="440"/>
    </row>
    <row r="95" spans="1:14" ht="12.75" thickTop="1" x14ac:dyDescent="0.2">
      <c r="A95" s="75" t="s">
        <v>139</v>
      </c>
      <c r="B95" s="77">
        <v>17</v>
      </c>
    </row>
    <row r="96" spans="1:14" x14ac:dyDescent="0.2">
      <c r="A96" s="50" t="s">
        <v>140</v>
      </c>
      <c r="B96" s="51">
        <v>17</v>
      </c>
    </row>
    <row r="97" spans="1:14" x14ac:dyDescent="0.2">
      <c r="A97" s="75" t="s">
        <v>141</v>
      </c>
      <c r="B97" s="77">
        <v>17</v>
      </c>
    </row>
    <row r="98" spans="1:14" x14ac:dyDescent="0.2">
      <c r="A98" s="50" t="s">
        <v>142</v>
      </c>
      <c r="B98" s="51">
        <v>17</v>
      </c>
    </row>
    <row r="99" spans="1:14" x14ac:dyDescent="0.2">
      <c r="A99" s="50" t="s">
        <v>158</v>
      </c>
      <c r="B99" s="52">
        <v>5</v>
      </c>
    </row>
    <row r="100" spans="1:14" x14ac:dyDescent="0.2">
      <c r="A100" s="50" t="s">
        <v>159</v>
      </c>
      <c r="B100" s="52">
        <v>7</v>
      </c>
    </row>
    <row r="101" spans="1:14" x14ac:dyDescent="0.2">
      <c r="A101" s="50" t="s">
        <v>160</v>
      </c>
      <c r="B101" s="52">
        <v>12</v>
      </c>
    </row>
    <row r="102" spans="1:14" x14ac:dyDescent="0.2">
      <c r="A102" s="50" t="s">
        <v>161</v>
      </c>
      <c r="B102" s="51">
        <v>17</v>
      </c>
    </row>
    <row r="103" spans="1:14" x14ac:dyDescent="0.2">
      <c r="A103" s="50" t="s">
        <v>162</v>
      </c>
      <c r="B103" s="52">
        <v>5</v>
      </c>
    </row>
    <row r="104" spans="1:14" x14ac:dyDescent="0.2">
      <c r="A104" s="50" t="s">
        <v>163</v>
      </c>
      <c r="B104" s="55">
        <v>7</v>
      </c>
    </row>
    <row r="105" spans="1:14" x14ac:dyDescent="0.2">
      <c r="A105" s="50" t="s">
        <v>164</v>
      </c>
      <c r="B105" s="55">
        <v>12</v>
      </c>
    </row>
    <row r="106" spans="1:14" x14ac:dyDescent="0.2">
      <c r="A106" s="50" t="s">
        <v>165</v>
      </c>
      <c r="B106" s="55">
        <v>17</v>
      </c>
    </row>
    <row r="107" spans="1:14" x14ac:dyDescent="0.2">
      <c r="A107" s="50" t="s">
        <v>166</v>
      </c>
      <c r="B107" s="55">
        <v>12</v>
      </c>
      <c r="N107" s="21"/>
    </row>
    <row r="108" spans="1:14" x14ac:dyDescent="0.2">
      <c r="A108" s="50" t="s">
        <v>167</v>
      </c>
      <c r="B108" s="55">
        <v>12</v>
      </c>
      <c r="N108" s="21"/>
    </row>
    <row r="109" spans="1:14" x14ac:dyDescent="0.2">
      <c r="A109" s="50" t="s">
        <v>168</v>
      </c>
      <c r="B109" s="55">
        <v>12</v>
      </c>
      <c r="N109" s="21"/>
    </row>
    <row r="110" spans="1:14" x14ac:dyDescent="0.2">
      <c r="A110" s="50" t="s">
        <v>169</v>
      </c>
      <c r="B110" s="55">
        <v>3</v>
      </c>
    </row>
    <row r="111" spans="1:14" x14ac:dyDescent="0.2">
      <c r="A111" s="50" t="s">
        <v>170</v>
      </c>
      <c r="B111" s="55">
        <v>3</v>
      </c>
    </row>
    <row r="112" spans="1:14" x14ac:dyDescent="0.2">
      <c r="A112" s="50" t="s">
        <v>171</v>
      </c>
      <c r="B112" s="76">
        <v>4</v>
      </c>
    </row>
    <row r="113" spans="1:14" x14ac:dyDescent="0.2">
      <c r="A113" s="50" t="s">
        <v>172</v>
      </c>
      <c r="B113" s="76">
        <v>4</v>
      </c>
    </row>
    <row r="114" spans="1:14" ht="12.75" thickBot="1" x14ac:dyDescent="0.25">
      <c r="A114" s="53" t="s">
        <v>173</v>
      </c>
      <c r="B114" s="54">
        <v>13</v>
      </c>
    </row>
    <row r="115" spans="1:14" ht="12.75" thickBot="1" x14ac:dyDescent="0.25"/>
    <row r="116" spans="1:14" ht="13.5" thickBot="1" x14ac:dyDescent="0.25">
      <c r="A116" s="431" t="s">
        <v>174</v>
      </c>
      <c r="B116" s="432"/>
    </row>
    <row r="117" spans="1:14" x14ac:dyDescent="0.2">
      <c r="A117" s="116" t="s">
        <v>175</v>
      </c>
      <c r="B117" s="117"/>
      <c r="C117" s="117"/>
      <c r="D117" s="117"/>
      <c r="E117" s="117"/>
      <c r="F117" s="117"/>
      <c r="G117" s="117"/>
      <c r="H117" s="117"/>
      <c r="I117" s="117"/>
      <c r="J117" s="117"/>
      <c r="K117" s="117"/>
      <c r="L117" s="117"/>
      <c r="M117" s="113"/>
      <c r="N117" s="113"/>
    </row>
    <row r="118" spans="1:14" ht="12.75" thickBot="1" x14ac:dyDescent="0.25">
      <c r="A118" s="119" t="s">
        <v>177</v>
      </c>
      <c r="B118" s="120" t="s">
        <v>176</v>
      </c>
      <c r="C118" s="120" t="s">
        <v>176</v>
      </c>
      <c r="D118" s="120"/>
      <c r="E118" s="120"/>
      <c r="F118" s="120"/>
      <c r="G118" s="120" t="s">
        <v>176</v>
      </c>
      <c r="H118" s="120" t="s">
        <v>176</v>
      </c>
      <c r="I118" s="120" t="s">
        <v>176</v>
      </c>
      <c r="J118" s="120"/>
      <c r="K118" s="120"/>
      <c r="L118" s="120"/>
      <c r="M118" s="56"/>
      <c r="N118" s="56"/>
    </row>
    <row r="119" spans="1:14" ht="12.75" thickBot="1" x14ac:dyDescent="0.25"/>
    <row r="120" spans="1:14" ht="12.75" x14ac:dyDescent="0.2">
      <c r="A120" s="207" t="s">
        <v>178</v>
      </c>
      <c r="B120" s="426" t="s">
        <v>179</v>
      </c>
      <c r="C120" s="426"/>
      <c r="D120" s="427" t="s">
        <v>180</v>
      </c>
      <c r="E120" s="427"/>
      <c r="F120" s="428" t="s">
        <v>181</v>
      </c>
      <c r="G120" s="429"/>
      <c r="I120" s="295" t="s">
        <v>182</v>
      </c>
    </row>
    <row r="121" spans="1:14" ht="12.75" x14ac:dyDescent="0.2">
      <c r="A121" s="208" t="s">
        <v>183</v>
      </c>
      <c r="B121" s="159"/>
      <c r="C121" s="159"/>
      <c r="D121" s="159"/>
      <c r="E121" s="159"/>
      <c r="F121" s="159"/>
      <c r="G121" s="171"/>
      <c r="I121" s="221" t="s">
        <v>40</v>
      </c>
    </row>
    <row r="122" spans="1:14" x14ac:dyDescent="0.2">
      <c r="A122" s="157" t="s">
        <v>184</v>
      </c>
      <c r="B122" s="160">
        <v>12</v>
      </c>
      <c r="C122" s="160">
        <v>12</v>
      </c>
      <c r="D122" s="162">
        <v>11</v>
      </c>
      <c r="E122" s="162">
        <v>9</v>
      </c>
      <c r="F122" s="164">
        <v>8</v>
      </c>
      <c r="G122" s="209">
        <v>0</v>
      </c>
    </row>
    <row r="123" spans="1:14" x14ac:dyDescent="0.2">
      <c r="A123" s="157" t="s">
        <v>185</v>
      </c>
      <c r="B123" s="160">
        <v>12</v>
      </c>
      <c r="C123" s="160">
        <v>9</v>
      </c>
      <c r="D123" s="162">
        <v>8</v>
      </c>
      <c r="E123" s="162">
        <v>7</v>
      </c>
      <c r="F123" s="164">
        <v>6</v>
      </c>
      <c r="G123" s="209">
        <v>0</v>
      </c>
    </row>
    <row r="124" spans="1:14" x14ac:dyDescent="0.2">
      <c r="A124" s="208" t="s">
        <v>122</v>
      </c>
      <c r="B124" s="210"/>
      <c r="C124" s="211"/>
      <c r="D124" s="211"/>
      <c r="E124" s="211"/>
      <c r="F124" s="211"/>
      <c r="G124" s="212"/>
    </row>
    <row r="125" spans="1:14" ht="12.75" x14ac:dyDescent="0.2">
      <c r="A125" s="240" t="s">
        <v>123</v>
      </c>
      <c r="B125" s="213">
        <v>12</v>
      </c>
      <c r="C125" s="160">
        <v>7</v>
      </c>
      <c r="D125" s="162">
        <v>6</v>
      </c>
      <c r="E125" s="162">
        <v>5</v>
      </c>
      <c r="F125" s="164">
        <v>4</v>
      </c>
      <c r="G125" s="165">
        <v>0</v>
      </c>
    </row>
    <row r="126" spans="1:14" ht="12.75" x14ac:dyDescent="0.2">
      <c r="A126" s="240" t="s">
        <v>124</v>
      </c>
      <c r="B126" s="160">
        <v>12</v>
      </c>
      <c r="C126" s="160">
        <v>1</v>
      </c>
      <c r="D126" s="162">
        <v>1</v>
      </c>
      <c r="E126" s="162">
        <v>1</v>
      </c>
      <c r="F126" s="164">
        <v>0</v>
      </c>
      <c r="G126" s="209">
        <v>0</v>
      </c>
    </row>
    <row r="127" spans="1:14" ht="12.75" x14ac:dyDescent="0.2">
      <c r="A127" s="240" t="s">
        <v>125</v>
      </c>
      <c r="B127" s="160">
        <v>12</v>
      </c>
      <c r="C127" s="160">
        <v>4</v>
      </c>
      <c r="D127" s="162">
        <v>3</v>
      </c>
      <c r="E127" s="162"/>
      <c r="F127" s="164">
        <v>2</v>
      </c>
      <c r="G127" s="209">
        <v>0</v>
      </c>
    </row>
    <row r="128" spans="1:14" ht="12.75" x14ac:dyDescent="0.2">
      <c r="A128" s="240" t="s">
        <v>126</v>
      </c>
      <c r="B128" s="160">
        <v>12</v>
      </c>
      <c r="C128" s="160">
        <v>7</v>
      </c>
      <c r="D128" s="162">
        <v>6</v>
      </c>
      <c r="E128" s="162">
        <v>5</v>
      </c>
      <c r="F128" s="164">
        <v>4</v>
      </c>
      <c r="G128" s="209">
        <v>0</v>
      </c>
    </row>
    <row r="129" spans="1:7" ht="12.75" x14ac:dyDescent="0.2">
      <c r="A129" s="240" t="s">
        <v>127</v>
      </c>
      <c r="B129" s="160">
        <v>12</v>
      </c>
      <c r="C129" s="160">
        <v>7</v>
      </c>
      <c r="D129" s="162">
        <v>6</v>
      </c>
      <c r="E129" s="162">
        <v>5</v>
      </c>
      <c r="F129" s="164">
        <v>4</v>
      </c>
      <c r="G129" s="209">
        <v>0</v>
      </c>
    </row>
    <row r="130" spans="1:7" ht="12.75" x14ac:dyDescent="0.2">
      <c r="A130" s="240" t="s">
        <v>128</v>
      </c>
      <c r="B130" s="160">
        <v>12</v>
      </c>
      <c r="C130" s="160">
        <v>7</v>
      </c>
      <c r="D130" s="162">
        <v>6</v>
      </c>
      <c r="E130" s="162">
        <v>5</v>
      </c>
      <c r="F130" s="164">
        <v>4</v>
      </c>
      <c r="G130" s="209">
        <v>0</v>
      </c>
    </row>
    <row r="131" spans="1:7" ht="12.75" x14ac:dyDescent="0.2">
      <c r="A131" s="240" t="s">
        <v>129</v>
      </c>
      <c r="B131" s="160">
        <v>12</v>
      </c>
      <c r="C131" s="160">
        <v>9</v>
      </c>
      <c r="D131" s="162">
        <v>8</v>
      </c>
      <c r="E131" s="162">
        <v>3</v>
      </c>
      <c r="F131" s="164">
        <v>2</v>
      </c>
      <c r="G131" s="209">
        <v>0</v>
      </c>
    </row>
    <row r="132" spans="1:7" ht="12.75" x14ac:dyDescent="0.2">
      <c r="A132" s="240" t="s">
        <v>130</v>
      </c>
      <c r="B132" s="160">
        <v>12</v>
      </c>
      <c r="C132" s="160">
        <v>7</v>
      </c>
      <c r="D132" s="162">
        <v>6</v>
      </c>
      <c r="E132" s="162">
        <v>5</v>
      </c>
      <c r="F132" s="164">
        <v>3</v>
      </c>
      <c r="G132" s="209">
        <v>0</v>
      </c>
    </row>
    <row r="133" spans="1:7" ht="12.75" x14ac:dyDescent="0.2">
      <c r="A133" s="240" t="s">
        <v>131</v>
      </c>
      <c r="B133" s="160">
        <v>12</v>
      </c>
      <c r="C133" s="160">
        <v>9</v>
      </c>
      <c r="D133" s="162">
        <v>8</v>
      </c>
      <c r="E133" s="162">
        <v>3</v>
      </c>
      <c r="F133" s="164">
        <v>2</v>
      </c>
      <c r="G133" s="209">
        <v>0</v>
      </c>
    </row>
    <row r="134" spans="1:7" ht="12.75" x14ac:dyDescent="0.2">
      <c r="A134" s="240" t="s">
        <v>132</v>
      </c>
      <c r="B134" s="160">
        <v>12</v>
      </c>
      <c r="C134" s="160">
        <v>9</v>
      </c>
      <c r="D134" s="162">
        <v>8</v>
      </c>
      <c r="E134" s="162">
        <v>7</v>
      </c>
      <c r="F134" s="164">
        <v>6</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t="s">
        <v>193</v>
      </c>
      <c r="C138" s="167"/>
      <c r="D138" s="169"/>
      <c r="E138" s="169"/>
      <c r="F138" s="170"/>
      <c r="G138" s="214"/>
    </row>
    <row r="139" spans="1:7" ht="12.75" thickBot="1" x14ac:dyDescent="0.25">
      <c r="A139" s="158" t="s">
        <v>187</v>
      </c>
      <c r="B139" s="161" t="s">
        <v>193</v>
      </c>
      <c r="C139" s="161"/>
      <c r="D139" s="163"/>
      <c r="E139" s="163"/>
      <c r="F139" s="166"/>
      <c r="G139" s="215"/>
    </row>
    <row r="142" spans="1:7" x14ac:dyDescent="0.2">
      <c r="A142" s="340" t="s">
        <v>188</v>
      </c>
      <c r="B142" s="340" t="s">
        <v>198</v>
      </c>
    </row>
    <row r="143" spans="1:7" x14ac:dyDescent="0.2">
      <c r="A143" s="341" t="s">
        <v>190</v>
      </c>
      <c r="B143" s="342">
        <f>HLOOKUP($B$142,'FA-18EF Mission System Summary'!$B$1:$F$12,2,FALSE)</f>
        <v>0.81398064731398057</v>
      </c>
    </row>
    <row r="144" spans="1:7" x14ac:dyDescent="0.2">
      <c r="A144" s="341" t="str">
        <f>A39</f>
        <v>Ready Advance Threat Warning Mission System (C)</v>
      </c>
      <c r="B144" s="342">
        <f>HLOOKUP($B$142,'FA-18EF Mission System Summary'!$B$1:$F$12,3,FALSE)</f>
        <v>0.69748319748319743</v>
      </c>
    </row>
    <row r="145" spans="1:2" x14ac:dyDescent="0.2">
      <c r="A145" s="341" t="str">
        <f t="shared" ref="A145:A153" si="49">A40</f>
        <v>Ready HARM Support Mission System (D)</v>
      </c>
      <c r="B145" s="342">
        <f>HLOOKUP($B$142,'FA-18EF Mission System Summary'!$B$1:$F$12,4,FALSE)</f>
        <v>0.15186615186615188</v>
      </c>
    </row>
    <row r="146" spans="1:2" x14ac:dyDescent="0.2">
      <c r="A146" s="341" t="str">
        <f t="shared" si="49"/>
        <v>Ready Missile Launch Mission System (E)</v>
      </c>
      <c r="B146" s="342">
        <f>HLOOKUP($B$142,'FA-18EF Mission System Summary'!$B$1:$F$12,5,FALSE)</f>
        <v>0.39761189761189758</v>
      </c>
    </row>
    <row r="147" spans="1:2" x14ac:dyDescent="0.2">
      <c r="A147" s="341" t="str">
        <f t="shared" si="49"/>
        <v>Ready Survivablity Mission System (F)</v>
      </c>
      <c r="B147" s="342">
        <f>HLOOKUP($B$142,'FA-18EF Mission System Summary'!$B$1:$F$12,6,FALSE)</f>
        <v>0.68590018590018587</v>
      </c>
    </row>
    <row r="148" spans="1:2" x14ac:dyDescent="0.2">
      <c r="A148" s="341" t="str">
        <f t="shared" si="49"/>
        <v>Ready Leathality Mission System (G)</v>
      </c>
      <c r="B148" s="342">
        <f>HLOOKUP($B$142,'FA-18EF Mission System Summary'!$B$1:$F$12,7,FALSE)</f>
        <v>0.69748319748319743</v>
      </c>
    </row>
    <row r="149" spans="1:2" x14ac:dyDescent="0.2">
      <c r="A149" s="341" t="str">
        <f t="shared" si="49"/>
        <v>Ready Combat Communications Mission System (H)</v>
      </c>
      <c r="B149" s="342">
        <f>HLOOKUP($B$142,'FA-18EF Mission System Summary'!$B$1:$F$12,8,FALSE)</f>
        <v>0.69748319748319743</v>
      </c>
    </row>
    <row r="150" spans="1:2" x14ac:dyDescent="0.2">
      <c r="A150" s="341" t="str">
        <f t="shared" si="49"/>
        <v>Ready Air to Air Refueling Mission Systems (I)</v>
      </c>
      <c r="B150" s="342">
        <f>HLOOKUP($B$142,'FA-18EF Mission System Summary'!$B$1:$F$12,9,FALSE)</f>
        <v>0.34949234949234947</v>
      </c>
    </row>
    <row r="151" spans="1:2" x14ac:dyDescent="0.2">
      <c r="A151" s="341" t="str">
        <f t="shared" si="49"/>
        <v>Ready Tactical Navigation Mission Systems (J)</v>
      </c>
      <c r="B151" s="342">
        <f>HLOOKUP($B$142,'FA-18EF Mission System Summary'!$B$1:$F$12,10,FALSE)</f>
        <v>0.74445874445874438</v>
      </c>
    </row>
    <row r="152" spans="1:2" x14ac:dyDescent="0.2">
      <c r="A152" s="341" t="str">
        <f t="shared" si="49"/>
        <v>Ready Shipboard Mission Systems (K)</v>
      </c>
      <c r="B152" s="342">
        <f>HLOOKUP($B$142,'FA-18EF Mission System Summary'!$B$1:$F$12,11,FALSE)</f>
        <v>0.326004576004576</v>
      </c>
    </row>
    <row r="153" spans="1:2" x14ac:dyDescent="0.2">
      <c r="A153" s="341" t="str">
        <f t="shared" si="49"/>
        <v>Ready IMC Flight Mission Systems (L)</v>
      </c>
      <c r="B153" s="342">
        <f>HLOOKUP($B$142,'FA-18EF Mission System Summary'!$B$1:$F$12,12,FALSE)</f>
        <v>1</v>
      </c>
    </row>
  </sheetData>
  <mergeCells count="13">
    <mergeCell ref="B120:C120"/>
    <mergeCell ref="D120:E120"/>
    <mergeCell ref="F120:G120"/>
    <mergeCell ref="A1:G1"/>
    <mergeCell ref="M1:P1"/>
    <mergeCell ref="B16:C16"/>
    <mergeCell ref="D16:F16"/>
    <mergeCell ref="G16:I16"/>
    <mergeCell ref="K16:M16"/>
    <mergeCell ref="A83:N83"/>
    <mergeCell ref="A93:B93"/>
    <mergeCell ref="A94:B94"/>
    <mergeCell ref="A116:B116"/>
  </mergeCells>
  <conditionalFormatting sqref="C122:C124 C126:C139">
    <cfRule type="cellIs" dxfId="61" priority="4" operator="equal">
      <formula>B122</formula>
    </cfRule>
  </conditionalFormatting>
  <conditionalFormatting sqref="D122:E124 D126:E139">
    <cfRule type="cellIs" dxfId="60" priority="5" operator="equal">
      <formula>C122</formula>
    </cfRule>
  </conditionalFormatting>
  <conditionalFormatting sqref="F122">
    <cfRule type="cellIs" dxfId="59" priority="6" operator="equal">
      <formula>E122</formula>
    </cfRule>
  </conditionalFormatting>
  <conditionalFormatting sqref="F123:F124 F126:F139">
    <cfRule type="cellIs" dxfId="58" priority="7" operator="equal">
      <formula>G123</formula>
    </cfRule>
    <cfRule type="cellIs" dxfId="57" priority="13" operator="equal">
      <formula>E123</formula>
    </cfRule>
  </conditionalFormatting>
  <conditionalFormatting sqref="E122:E123">
    <cfRule type="cellIs" dxfId="56" priority="15" operator="equal">
      <formula>D122</formula>
    </cfRule>
  </conditionalFormatting>
  <conditionalFormatting sqref="F122">
    <cfRule type="cellIs" dxfId="55" priority="14" operator="equal">
      <formula>E122</formula>
    </cfRule>
  </conditionalFormatting>
  <conditionalFormatting sqref="C122">
    <cfRule type="cellIs" dxfId="54" priority="17" operator="equal">
      <formula>B122</formula>
    </cfRule>
  </conditionalFormatting>
  <conditionalFormatting sqref="D122">
    <cfRule type="cellIs" dxfId="53" priority="12" operator="equal">
      <formula>C122</formula>
    </cfRule>
  </conditionalFormatting>
  <conditionalFormatting sqref="E122:E123">
    <cfRule type="cellIs" dxfId="52" priority="11" operator="equal">
      <formula>D122</formula>
    </cfRule>
  </conditionalFormatting>
  <conditionalFormatting sqref="F122">
    <cfRule type="cellIs" dxfId="51" priority="10" operator="equal">
      <formula>E122</formula>
    </cfRule>
  </conditionalFormatting>
  <conditionalFormatting sqref="C122">
    <cfRule type="cellIs" dxfId="50" priority="9" operator="equal">
      <formula>B122</formula>
    </cfRule>
  </conditionalFormatting>
  <conditionalFormatting sqref="D122">
    <cfRule type="cellIs" dxfId="49" priority="8" operator="equal">
      <formula>C122</formula>
    </cfRule>
  </conditionalFormatting>
  <conditionalFormatting sqref="E122:E123">
    <cfRule type="cellIs" dxfId="48" priority="16" operator="equal">
      <formula>D122</formula>
    </cfRule>
  </conditionalFormatting>
  <conditionalFormatting sqref="C125">
    <cfRule type="cellIs" dxfId="47" priority="3" operator="equal">
      <formula>B125</formula>
    </cfRule>
  </conditionalFormatting>
  <conditionalFormatting sqref="D125:E125">
    <cfRule type="cellIs" dxfId="46" priority="1" operator="equal">
      <formula>C125</formula>
    </cfRule>
  </conditionalFormatting>
  <conditionalFormatting sqref="F125">
    <cfRule type="cellIs" dxfId="45" priority="2" operator="equal">
      <formula>G125</formula>
    </cfRule>
    <cfRule type="cellIs" dxfId="44" priority="18" operator="equal">
      <formula>E125</formula>
    </cfRule>
  </conditionalFormatting>
  <hyperlinks>
    <hyperlink ref="H1" location="Inventory!A1" display="Inventory" xr:uid="{00000000-0004-0000-0900-000000000000}"/>
    <hyperlink ref="I121" location="Inventory!A1" display="Inventory" xr:uid="{00000000-0004-0000-0900-000001000000}"/>
    <hyperlink ref="I120" location="'VFA (12F) (No ARS) FDNF'!A1" display="Top" xr:uid="{00000000-0004-0000-0900-000002000000}"/>
    <hyperlink ref="H2" location="'VFA (12F) (No ARS) FDNF'!A140" display="AMFOM" xr:uid="{00000000-0004-0000-0900-000003000000}"/>
  </hyperlinks>
  <printOptions horizontalCentered="1" verticalCentered="1"/>
  <pageMargins left="0.5" right="0.25" top="0.5" bottom="0.5" header="0.5" footer="0.5"/>
  <pageSetup scale="3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E153"/>
  <sheetViews>
    <sheetView showGridLines="0" zoomScaleNormal="100" zoomScaleSheetLayoutView="100" workbookViewId="0">
      <selection sqref="A1:F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0" s="1" customFormat="1" ht="18.75" x14ac:dyDescent="0.3">
      <c r="A1" s="451" t="s">
        <v>205</v>
      </c>
      <c r="B1" s="451"/>
      <c r="C1" s="451"/>
      <c r="D1" s="451"/>
      <c r="E1" s="451"/>
      <c r="F1" s="451"/>
      <c r="G1" s="451"/>
      <c r="H1" s="145" t="s">
        <v>40</v>
      </c>
      <c r="L1" s="146" t="s">
        <v>41</v>
      </c>
      <c r="M1" s="441">
        <v>44835</v>
      </c>
      <c r="N1" s="442"/>
      <c r="O1" s="443"/>
      <c r="P1" s="443"/>
      <c r="AC1" s="324" t="s">
        <v>42</v>
      </c>
      <c r="AD1" s="325">
        <v>10.09</v>
      </c>
    </row>
    <row r="2" spans="1:30" s="4" customFormat="1" ht="12.75" x14ac:dyDescent="0.2">
      <c r="A2" s="2" t="s">
        <v>43</v>
      </c>
      <c r="B2" s="70">
        <v>12</v>
      </c>
      <c r="C2" s="59"/>
      <c r="D2" s="59"/>
      <c r="E2" s="62"/>
      <c r="F2" s="62"/>
      <c r="G2" s="62"/>
      <c r="H2" s="294" t="s">
        <v>3</v>
      </c>
      <c r="I2" s="59"/>
      <c r="J2" s="59"/>
      <c r="K2" s="59"/>
      <c r="L2" s="59"/>
      <c r="M2" s="59"/>
      <c r="N2" s="100"/>
    </row>
    <row r="3" spans="1:30" s="4" customFormat="1" ht="11.25" x14ac:dyDescent="0.2">
      <c r="A3" s="2" t="s">
        <v>44</v>
      </c>
      <c r="B3" s="71">
        <f>B4/B2</f>
        <v>1.4166666666666667</v>
      </c>
      <c r="C3" s="59"/>
      <c r="D3" s="59"/>
      <c r="E3" s="59"/>
      <c r="F3" s="59"/>
      <c r="G3" s="59"/>
      <c r="H3" s="59"/>
      <c r="I3" s="59"/>
      <c r="J3" s="59"/>
    </row>
    <row r="4" spans="1:30" s="4" customFormat="1" ht="11.25" x14ac:dyDescent="0.2">
      <c r="A4" s="2" t="s">
        <v>45</v>
      </c>
      <c r="B4" s="70">
        <v>17</v>
      </c>
      <c r="C4" s="59"/>
      <c r="D4" s="59"/>
      <c r="E4" s="59"/>
      <c r="F4" s="59"/>
      <c r="G4" s="59"/>
      <c r="H4" s="59"/>
      <c r="I4" s="59"/>
      <c r="J4" s="59"/>
      <c r="K4" s="59"/>
      <c r="L4" s="59"/>
      <c r="M4" s="59"/>
      <c r="N4" s="100"/>
    </row>
    <row r="5" spans="1:30" s="4" customFormat="1" ht="11.25" x14ac:dyDescent="0.2">
      <c r="A5" s="2" t="s">
        <v>46</v>
      </c>
      <c r="B5" s="72">
        <v>1.5</v>
      </c>
      <c r="C5" s="61"/>
      <c r="D5" s="59"/>
      <c r="E5" s="59"/>
      <c r="F5" s="59"/>
      <c r="G5" s="59"/>
      <c r="H5" s="59"/>
      <c r="I5" s="59"/>
      <c r="J5" s="59"/>
      <c r="K5" s="59"/>
      <c r="L5" s="59"/>
      <c r="M5" s="59"/>
      <c r="N5" s="100"/>
    </row>
    <row r="6" spans="1:30" s="4" customFormat="1" ht="11.25" x14ac:dyDescent="0.2">
      <c r="A6" s="6" t="s">
        <v>47</v>
      </c>
      <c r="B6" s="72">
        <v>27.5</v>
      </c>
      <c r="C6" s="61"/>
      <c r="D6" s="59"/>
      <c r="E6" s="59"/>
      <c r="F6" s="59"/>
      <c r="G6" s="59"/>
      <c r="H6" s="59"/>
      <c r="I6" s="59"/>
      <c r="J6" s="59"/>
      <c r="K6" s="59"/>
      <c r="L6" s="59"/>
      <c r="M6" s="59"/>
      <c r="N6" s="100"/>
    </row>
    <row r="7" spans="1:30" s="4" customFormat="1" ht="11.25" x14ac:dyDescent="0.2">
      <c r="A7" s="2" t="s">
        <v>48</v>
      </c>
      <c r="B7" s="72">
        <f>B6*B4</f>
        <v>467.5</v>
      </c>
      <c r="C7" s="60"/>
      <c r="D7" s="60"/>
      <c r="E7" s="59"/>
      <c r="F7" s="59"/>
      <c r="G7" s="59"/>
      <c r="H7" s="59"/>
      <c r="I7" s="59"/>
      <c r="J7" s="59"/>
      <c r="K7" s="59"/>
      <c r="L7" s="59"/>
      <c r="M7" s="59"/>
      <c r="N7" s="100"/>
    </row>
    <row r="8" spans="1:30" s="4" customFormat="1" ht="11.25" x14ac:dyDescent="0.2">
      <c r="A8" s="2" t="s">
        <v>49</v>
      </c>
      <c r="B8" s="70">
        <f>B7/B5</f>
        <v>311.66666666666669</v>
      </c>
      <c r="C8" s="59"/>
      <c r="D8" s="60"/>
      <c r="E8" s="59"/>
      <c r="F8" s="59"/>
      <c r="G8" s="59"/>
      <c r="H8" s="59"/>
      <c r="I8" s="59"/>
      <c r="J8" s="59"/>
      <c r="K8" s="59"/>
      <c r="L8" s="59"/>
      <c r="M8" s="59"/>
      <c r="N8" s="100"/>
    </row>
    <row r="9" spans="1:30" s="4" customFormat="1" ht="11.25" x14ac:dyDescent="0.2">
      <c r="A9" s="2" t="s">
        <v>50</v>
      </c>
      <c r="B9" s="72">
        <f>B4*C9</f>
        <v>17</v>
      </c>
      <c r="C9" s="72">
        <v>1</v>
      </c>
      <c r="D9" s="60" t="s">
        <v>51</v>
      </c>
      <c r="E9" s="59"/>
      <c r="F9" s="59"/>
      <c r="G9" s="92" t="s">
        <v>52</v>
      </c>
      <c r="H9" s="93">
        <v>0.4</v>
      </c>
      <c r="I9" s="59"/>
      <c r="J9" s="59"/>
      <c r="K9" s="59"/>
      <c r="L9" s="59"/>
      <c r="M9" s="59"/>
      <c r="N9" s="100"/>
    </row>
    <row r="10" spans="1:30" s="4" customFormat="1" ht="11.25" x14ac:dyDescent="0.2">
      <c r="A10" s="2" t="s">
        <v>53</v>
      </c>
      <c r="B10" s="72">
        <f>B4*C10</f>
        <v>105.4</v>
      </c>
      <c r="C10" s="72">
        <v>6.2</v>
      </c>
      <c r="D10" s="60" t="s">
        <v>51</v>
      </c>
      <c r="E10" s="59"/>
      <c r="F10" s="59"/>
      <c r="G10" s="94" t="s">
        <v>54</v>
      </c>
      <c r="H10" s="93">
        <v>0.26400000000000001</v>
      </c>
      <c r="I10" s="59"/>
      <c r="J10" s="59"/>
      <c r="K10" s="59"/>
      <c r="L10" s="59"/>
      <c r="M10" s="59"/>
    </row>
    <row r="11" spans="1:30" s="4" customFormat="1" ht="11.25" x14ac:dyDescent="0.2">
      <c r="A11" s="2" t="s">
        <v>55</v>
      </c>
      <c r="B11" s="4">
        <f>C11*B4</f>
        <v>34</v>
      </c>
      <c r="C11" s="5">
        <v>2</v>
      </c>
      <c r="D11" s="7" t="s">
        <v>51</v>
      </c>
      <c r="E11" s="59"/>
      <c r="F11" s="59"/>
      <c r="G11" s="94"/>
      <c r="H11" s="93"/>
      <c r="I11" s="59"/>
      <c r="J11" s="59"/>
      <c r="K11" s="59"/>
      <c r="L11" s="59"/>
      <c r="M11" s="59"/>
    </row>
    <row r="12" spans="1:30" s="4" customFormat="1" ht="11.25" x14ac:dyDescent="0.2">
      <c r="B12" s="60"/>
      <c r="C12" s="59"/>
      <c r="D12" s="61"/>
      <c r="E12" s="59"/>
      <c r="F12" s="59"/>
      <c r="G12" s="59"/>
      <c r="H12" s="59"/>
      <c r="I12" s="59"/>
      <c r="J12" s="59"/>
      <c r="K12" s="59"/>
      <c r="L12" s="59"/>
      <c r="M12" s="59"/>
    </row>
    <row r="13" spans="1:30" s="10" customFormat="1" ht="58.5" x14ac:dyDescent="0.2">
      <c r="A13" s="8" t="s">
        <v>56</v>
      </c>
      <c r="B13" s="63" t="s">
        <v>62</v>
      </c>
      <c r="C13" s="63" t="s">
        <v>62</v>
      </c>
      <c r="D13" s="63" t="s">
        <v>99</v>
      </c>
      <c r="E13" s="63" t="s">
        <v>99</v>
      </c>
      <c r="F13" s="63" t="s">
        <v>99</v>
      </c>
      <c r="G13" s="63" t="s">
        <v>62</v>
      </c>
      <c r="H13" s="63" t="s">
        <v>62</v>
      </c>
      <c r="I13" s="63" t="s">
        <v>62</v>
      </c>
      <c r="J13" s="63" t="s">
        <v>99</v>
      </c>
      <c r="K13" s="63" t="s">
        <v>99</v>
      </c>
      <c r="L13" s="63" t="s">
        <v>99</v>
      </c>
      <c r="M13" s="63" t="s">
        <v>99</v>
      </c>
      <c r="N13" s="115" t="s">
        <v>63</v>
      </c>
    </row>
    <row r="14" spans="1:30" s="13" customFormat="1" x14ac:dyDescent="0.2">
      <c r="A14" s="8" t="s">
        <v>64</v>
      </c>
      <c r="B14" s="86" t="s">
        <v>81</v>
      </c>
      <c r="C14" s="86" t="s">
        <v>82</v>
      </c>
      <c r="D14" s="86" t="s">
        <v>67</v>
      </c>
      <c r="E14" s="86" t="s">
        <v>68</v>
      </c>
      <c r="F14" s="86" t="s">
        <v>200</v>
      </c>
      <c r="G14" s="86" t="s">
        <v>83</v>
      </c>
      <c r="H14" s="86" t="s">
        <v>84</v>
      </c>
      <c r="I14" s="86" t="s">
        <v>85</v>
      </c>
      <c r="J14" s="86" t="s">
        <v>201</v>
      </c>
      <c r="K14" s="86" t="s">
        <v>202</v>
      </c>
      <c r="L14" s="86" t="s">
        <v>75</v>
      </c>
      <c r="M14" s="86" t="s">
        <v>203</v>
      </c>
      <c r="N14" s="11" t="s">
        <v>92</v>
      </c>
    </row>
    <row r="15" spans="1:30" s="13" customFormat="1" x14ac:dyDescent="0.2">
      <c r="A15" s="8" t="s">
        <v>93</v>
      </c>
      <c r="B15" s="85">
        <v>1</v>
      </c>
      <c r="C15" s="85">
        <v>2</v>
      </c>
      <c r="D15" s="85">
        <v>3</v>
      </c>
      <c r="E15" s="85">
        <v>4</v>
      </c>
      <c r="F15" s="85">
        <v>5</v>
      </c>
      <c r="G15" s="85">
        <v>6</v>
      </c>
      <c r="H15" s="85">
        <v>7</v>
      </c>
      <c r="I15" s="85">
        <v>8</v>
      </c>
      <c r="J15" s="85">
        <v>9</v>
      </c>
      <c r="K15" s="85">
        <v>10</v>
      </c>
      <c r="L15" s="85">
        <v>11</v>
      </c>
      <c r="M15" s="85">
        <v>12</v>
      </c>
      <c r="N15" s="11">
        <v>28</v>
      </c>
    </row>
    <row r="16" spans="1:30" x14ac:dyDescent="0.2">
      <c r="A16" s="8" t="s">
        <v>94</v>
      </c>
      <c r="B16" s="460" t="s">
        <v>62</v>
      </c>
      <c r="C16" s="461"/>
      <c r="D16" s="460" t="s">
        <v>99</v>
      </c>
      <c r="E16" s="462"/>
      <c r="F16" s="461"/>
      <c r="G16" s="460" t="s">
        <v>62</v>
      </c>
      <c r="H16" s="462"/>
      <c r="I16" s="461"/>
      <c r="J16" s="200" t="s">
        <v>99</v>
      </c>
      <c r="K16" s="460" t="s">
        <v>204</v>
      </c>
      <c r="L16" s="462"/>
      <c r="M16" s="461"/>
      <c r="N16" s="184" t="s">
        <v>100</v>
      </c>
    </row>
    <row r="17" spans="1:14" ht="12.75" x14ac:dyDescent="0.2">
      <c r="A17" s="96" t="s">
        <v>101</v>
      </c>
      <c r="B17" s="16"/>
      <c r="C17" s="18"/>
      <c r="D17" s="18"/>
      <c r="E17" s="18"/>
      <c r="F17" s="18"/>
      <c r="G17" s="18"/>
      <c r="H17" s="18"/>
      <c r="I17" s="18"/>
      <c r="J17" s="18"/>
      <c r="K17" s="18"/>
      <c r="L17" s="18"/>
      <c r="M17" s="18"/>
      <c r="N17" s="19"/>
    </row>
    <row r="18" spans="1:14" x14ac:dyDescent="0.2">
      <c r="A18" s="133" t="s">
        <v>102</v>
      </c>
      <c r="B18" s="185">
        <f>IF(B86&lt;80,B87,MIN(B86,80))</f>
        <v>80</v>
      </c>
      <c r="C18" s="185">
        <f t="shared" ref="C18:N18" si="0">IF(C86&lt;80,C87,MIN(C86,80))</f>
        <v>80</v>
      </c>
      <c r="D18" s="185">
        <f t="shared" si="0"/>
        <v>80</v>
      </c>
      <c r="E18" s="185">
        <f t="shared" si="0"/>
        <v>80</v>
      </c>
      <c r="F18" s="185">
        <f t="shared" si="0"/>
        <v>80</v>
      </c>
      <c r="G18" s="185">
        <f t="shared" si="0"/>
        <v>80</v>
      </c>
      <c r="H18" s="185">
        <f t="shared" si="0"/>
        <v>80</v>
      </c>
      <c r="I18" s="185">
        <f t="shared" si="0"/>
        <v>80</v>
      </c>
      <c r="J18" s="185">
        <f t="shared" si="0"/>
        <v>80</v>
      </c>
      <c r="K18" s="185">
        <f t="shared" si="0"/>
        <v>80</v>
      </c>
      <c r="L18" s="185">
        <f t="shared" si="0"/>
        <v>80</v>
      </c>
      <c r="M18" s="186">
        <f t="shared" si="0"/>
        <v>80</v>
      </c>
      <c r="N18" s="185">
        <f t="shared" si="0"/>
        <v>25.098281988201322</v>
      </c>
    </row>
    <row r="19" spans="1:14" x14ac:dyDescent="0.2">
      <c r="A19" s="19" t="s">
        <v>103</v>
      </c>
      <c r="B19" s="178">
        <v>0.8</v>
      </c>
      <c r="C19" s="178">
        <v>0.8</v>
      </c>
      <c r="D19" s="178">
        <v>0.6</v>
      </c>
      <c r="E19" s="178">
        <v>0.75</v>
      </c>
      <c r="F19" s="178">
        <v>0.75</v>
      </c>
      <c r="G19" s="178">
        <v>0.8</v>
      </c>
      <c r="H19" s="178">
        <v>0.8</v>
      </c>
      <c r="I19" s="178">
        <v>0.8</v>
      </c>
      <c r="J19" s="178">
        <v>0.6</v>
      </c>
      <c r="K19" s="178">
        <v>0.75</v>
      </c>
      <c r="L19" s="178">
        <v>0.75</v>
      </c>
      <c r="M19" s="187">
        <v>0.75</v>
      </c>
      <c r="N19" s="178">
        <v>0.4</v>
      </c>
    </row>
    <row r="20" spans="1:14" s="27" customFormat="1" x14ac:dyDescent="0.2">
      <c r="A20" s="177" t="s">
        <v>104</v>
      </c>
      <c r="B20" s="182"/>
      <c r="C20" s="183"/>
      <c r="D20" s="183"/>
      <c r="E20" s="183"/>
      <c r="F20" s="183"/>
      <c r="G20" s="183"/>
      <c r="H20" s="183"/>
      <c r="I20" s="183"/>
      <c r="J20" s="183"/>
      <c r="K20" s="183"/>
      <c r="L20" s="183"/>
      <c r="M20" s="183"/>
      <c r="N20" s="20"/>
    </row>
    <row r="21" spans="1:14" s="27" customFormat="1" x14ac:dyDescent="0.2">
      <c r="A21" s="24" t="s">
        <v>105</v>
      </c>
      <c r="B21" s="179">
        <f t="shared" ref="B21:N21" si="1">B19*$B$8</f>
        <v>249.33333333333337</v>
      </c>
      <c r="C21" s="179">
        <f t="shared" si="1"/>
        <v>249.33333333333337</v>
      </c>
      <c r="D21" s="179">
        <f t="shared" si="1"/>
        <v>187</v>
      </c>
      <c r="E21" s="179">
        <f t="shared" si="1"/>
        <v>233.75</v>
      </c>
      <c r="F21" s="179">
        <f t="shared" si="1"/>
        <v>233.75</v>
      </c>
      <c r="G21" s="179">
        <f t="shared" si="1"/>
        <v>249.33333333333337</v>
      </c>
      <c r="H21" s="179">
        <f t="shared" si="1"/>
        <v>249.33333333333337</v>
      </c>
      <c r="I21" s="179">
        <f t="shared" si="1"/>
        <v>249.33333333333337</v>
      </c>
      <c r="J21" s="179">
        <f t="shared" si="1"/>
        <v>187</v>
      </c>
      <c r="K21" s="179">
        <f t="shared" si="1"/>
        <v>233.75</v>
      </c>
      <c r="L21" s="179">
        <f t="shared" si="1"/>
        <v>233.75</v>
      </c>
      <c r="M21" s="188">
        <f t="shared" si="1"/>
        <v>233.75</v>
      </c>
      <c r="N21" s="179">
        <f t="shared" si="1"/>
        <v>124.66666666666669</v>
      </c>
    </row>
    <row r="22" spans="1:14" s="30" customFormat="1" x14ac:dyDescent="0.2">
      <c r="A22" s="24" t="s">
        <v>106</v>
      </c>
      <c r="B22" s="28">
        <f t="shared" ref="B22:N22" si="2">B21*$B$5</f>
        <v>374.00000000000006</v>
      </c>
      <c r="C22" s="28">
        <f t="shared" si="2"/>
        <v>374.00000000000006</v>
      </c>
      <c r="D22" s="28">
        <f t="shared" si="2"/>
        <v>280.5</v>
      </c>
      <c r="E22" s="28">
        <f t="shared" si="2"/>
        <v>350.625</v>
      </c>
      <c r="F22" s="28">
        <f t="shared" si="2"/>
        <v>350.625</v>
      </c>
      <c r="G22" s="28">
        <f t="shared" si="2"/>
        <v>374.00000000000006</v>
      </c>
      <c r="H22" s="28">
        <f t="shared" si="2"/>
        <v>374.00000000000006</v>
      </c>
      <c r="I22" s="28">
        <f t="shared" si="2"/>
        <v>374.00000000000006</v>
      </c>
      <c r="J22" s="28">
        <f t="shared" si="2"/>
        <v>280.5</v>
      </c>
      <c r="K22" s="28">
        <f t="shared" si="2"/>
        <v>350.625</v>
      </c>
      <c r="L22" s="28">
        <f t="shared" si="2"/>
        <v>350.625</v>
      </c>
      <c r="M22" s="175">
        <f t="shared" si="2"/>
        <v>350.625</v>
      </c>
      <c r="N22" s="28">
        <f t="shared" si="2"/>
        <v>187.00000000000003</v>
      </c>
    </row>
    <row r="23" spans="1:14" s="30" customFormat="1" x14ac:dyDescent="0.2">
      <c r="A23" s="24" t="s">
        <v>107</v>
      </c>
      <c r="B23" s="101">
        <f>$B$9</f>
        <v>17</v>
      </c>
      <c r="C23" s="101">
        <f t="shared" ref="C23:N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89">
        <f t="shared" si="3"/>
        <v>17</v>
      </c>
      <c r="N23" s="101">
        <f t="shared" si="3"/>
        <v>17</v>
      </c>
    </row>
    <row r="24" spans="1:14" s="30" customFormat="1" x14ac:dyDescent="0.2">
      <c r="A24" s="24" t="s">
        <v>108</v>
      </c>
      <c r="B24" s="101">
        <f t="shared" ref="B24:M24" si="4">IF(ISBLANK(B118),0,$B$10)</f>
        <v>105.4</v>
      </c>
      <c r="C24" s="101">
        <f t="shared" si="4"/>
        <v>105.4</v>
      </c>
      <c r="D24" s="101">
        <f t="shared" si="4"/>
        <v>0</v>
      </c>
      <c r="E24" s="101">
        <f t="shared" si="4"/>
        <v>0</v>
      </c>
      <c r="F24" s="101">
        <f t="shared" si="4"/>
        <v>0</v>
      </c>
      <c r="G24" s="101">
        <f t="shared" si="4"/>
        <v>105.4</v>
      </c>
      <c r="H24" s="101">
        <f t="shared" si="4"/>
        <v>105.4</v>
      </c>
      <c r="I24" s="101">
        <f t="shared" si="4"/>
        <v>105.4</v>
      </c>
      <c r="J24" s="101">
        <f t="shared" si="4"/>
        <v>0</v>
      </c>
      <c r="K24" s="101">
        <f t="shared" si="4"/>
        <v>0</v>
      </c>
      <c r="L24" s="101">
        <f t="shared" si="4"/>
        <v>0</v>
      </c>
      <c r="M24" s="189">
        <f t="shared" si="4"/>
        <v>0</v>
      </c>
      <c r="N24" s="101">
        <f>IF(ISBLANK(N107),0,$B$10)</f>
        <v>0</v>
      </c>
    </row>
    <row r="25" spans="1:14" s="30" customFormat="1" x14ac:dyDescent="0.2">
      <c r="A25" s="24" t="s">
        <v>109</v>
      </c>
      <c r="B25" s="28">
        <f>B21*$B$5+SUM(B23:B24)</f>
        <v>496.40000000000009</v>
      </c>
      <c r="C25" s="28">
        <f t="shared" ref="C25:M25" si="5">C21*$B$5+SUM(C23:C24)</f>
        <v>496.40000000000009</v>
      </c>
      <c r="D25" s="28">
        <f t="shared" si="5"/>
        <v>297.5</v>
      </c>
      <c r="E25" s="28">
        <f t="shared" si="5"/>
        <v>367.625</v>
      </c>
      <c r="F25" s="28">
        <f t="shared" si="5"/>
        <v>367.625</v>
      </c>
      <c r="G25" s="28">
        <f t="shared" si="5"/>
        <v>496.40000000000009</v>
      </c>
      <c r="H25" s="28">
        <f t="shared" si="5"/>
        <v>496.40000000000009</v>
      </c>
      <c r="I25" s="28">
        <f t="shared" si="5"/>
        <v>496.40000000000009</v>
      </c>
      <c r="J25" s="28">
        <f t="shared" si="5"/>
        <v>297.5</v>
      </c>
      <c r="K25" s="28">
        <f t="shared" si="5"/>
        <v>367.625</v>
      </c>
      <c r="L25" s="28">
        <f t="shared" si="5"/>
        <v>367.625</v>
      </c>
      <c r="M25" s="175">
        <f t="shared" si="5"/>
        <v>367.625</v>
      </c>
      <c r="N25" s="28">
        <f>N21*$B$5+SUM(N23:N24)</f>
        <v>204.00000000000003</v>
      </c>
    </row>
    <row r="26" spans="1:14" s="30" customFormat="1" x14ac:dyDescent="0.2">
      <c r="A26" s="31" t="s">
        <v>110</v>
      </c>
      <c r="B26" s="32">
        <f t="shared" ref="B26:M26" si="6">-IF(ISBLANK(B117),0,MIN(B$22*$H$10,B$22-$B$7*$H$9))</f>
        <v>0</v>
      </c>
      <c r="C26" s="32">
        <f t="shared" si="6"/>
        <v>0</v>
      </c>
      <c r="D26" s="32">
        <f t="shared" si="6"/>
        <v>0</v>
      </c>
      <c r="E26" s="32">
        <f t="shared" si="6"/>
        <v>0</v>
      </c>
      <c r="F26" s="32">
        <f t="shared" si="6"/>
        <v>0</v>
      </c>
      <c r="G26" s="32">
        <f t="shared" si="6"/>
        <v>0</v>
      </c>
      <c r="H26" s="32">
        <f t="shared" si="6"/>
        <v>0</v>
      </c>
      <c r="I26" s="32">
        <f t="shared" si="6"/>
        <v>0</v>
      </c>
      <c r="J26" s="32">
        <f t="shared" si="6"/>
        <v>0</v>
      </c>
      <c r="K26" s="32">
        <f t="shared" si="6"/>
        <v>0</v>
      </c>
      <c r="L26" s="32">
        <f t="shared" si="6"/>
        <v>0</v>
      </c>
      <c r="M26" s="172">
        <f t="shared" si="6"/>
        <v>0</v>
      </c>
      <c r="N26" s="32">
        <f>-IF(ISBLANK(N106),0,MIN(N$22*$H$10,N$22-$B$7*$H$9))</f>
        <v>0</v>
      </c>
    </row>
    <row r="27" spans="1:14" s="30" customFormat="1" x14ac:dyDescent="0.2">
      <c r="A27" s="24" t="s">
        <v>111</v>
      </c>
      <c r="B27" s="32">
        <f t="shared" ref="B27:M27" si="7">SUM(B25:B26)</f>
        <v>496.40000000000009</v>
      </c>
      <c r="C27" s="32">
        <f t="shared" si="7"/>
        <v>496.40000000000009</v>
      </c>
      <c r="D27" s="32">
        <f t="shared" si="7"/>
        <v>297.5</v>
      </c>
      <c r="E27" s="32">
        <f t="shared" si="7"/>
        <v>367.625</v>
      </c>
      <c r="F27" s="32">
        <f t="shared" si="7"/>
        <v>367.625</v>
      </c>
      <c r="G27" s="32">
        <f t="shared" si="7"/>
        <v>496.40000000000009</v>
      </c>
      <c r="H27" s="32">
        <f t="shared" si="7"/>
        <v>496.40000000000009</v>
      </c>
      <c r="I27" s="32">
        <f t="shared" si="7"/>
        <v>496.40000000000009</v>
      </c>
      <c r="J27" s="32">
        <f t="shared" si="7"/>
        <v>297.5</v>
      </c>
      <c r="K27" s="32">
        <f t="shared" si="7"/>
        <v>367.625</v>
      </c>
      <c r="L27" s="32">
        <f t="shared" si="7"/>
        <v>367.625</v>
      </c>
      <c r="M27" s="172">
        <f t="shared" si="7"/>
        <v>367.625</v>
      </c>
      <c r="N27" s="32">
        <f>SUM(N25:N26)</f>
        <v>204.00000000000003</v>
      </c>
    </row>
    <row r="28" spans="1:14" s="30" customFormat="1" x14ac:dyDescent="0.2">
      <c r="A28" s="31" t="s">
        <v>112</v>
      </c>
      <c r="B28" s="32">
        <f>AVERAGE(L22:M22,B22)</f>
        <v>358.41666666666669</v>
      </c>
      <c r="C28" s="32">
        <f>AVERAGE(M22,B22:C22)</f>
        <v>366.20833333333331</v>
      </c>
      <c r="D28" s="32">
        <f t="shared" ref="D28:M28" si="8">AVERAGE(B22:D22)</f>
        <v>342.83333333333331</v>
      </c>
      <c r="E28" s="32">
        <f t="shared" si="8"/>
        <v>335.04166666666669</v>
      </c>
      <c r="F28" s="32">
        <f t="shared" si="8"/>
        <v>327.25</v>
      </c>
      <c r="G28" s="32">
        <f t="shared" si="8"/>
        <v>358.41666666666669</v>
      </c>
      <c r="H28" s="32">
        <f t="shared" si="8"/>
        <v>366.20833333333331</v>
      </c>
      <c r="I28" s="32">
        <f t="shared" si="8"/>
        <v>374.00000000000006</v>
      </c>
      <c r="J28" s="32">
        <f t="shared" si="8"/>
        <v>342.83333333333331</v>
      </c>
      <c r="K28" s="32">
        <f t="shared" si="8"/>
        <v>335.04166666666669</v>
      </c>
      <c r="L28" s="32">
        <f t="shared" si="8"/>
        <v>327.25</v>
      </c>
      <c r="M28" s="172">
        <f t="shared" si="8"/>
        <v>350.625</v>
      </c>
      <c r="N28" s="32" t="s">
        <v>193</v>
      </c>
    </row>
    <row r="29" spans="1:14" s="30" customFormat="1" x14ac:dyDescent="0.2">
      <c r="A29" s="174" t="s">
        <v>113</v>
      </c>
      <c r="B29" s="175"/>
      <c r="C29" s="176"/>
      <c r="D29" s="176"/>
      <c r="E29" s="176"/>
      <c r="F29" s="176"/>
      <c r="G29" s="176"/>
      <c r="H29" s="176"/>
      <c r="I29" s="176"/>
      <c r="J29" s="176"/>
      <c r="K29" s="176"/>
      <c r="L29" s="176"/>
      <c r="M29" s="176"/>
      <c r="N29" s="28"/>
    </row>
    <row r="30" spans="1:14" s="30" customFormat="1" x14ac:dyDescent="0.2">
      <c r="A30" s="31" t="s">
        <v>114</v>
      </c>
      <c r="B30" s="173">
        <f t="shared" ref="B30:N30" si="9">IF(ISBLANK(B117),0,$B$11)</f>
        <v>0</v>
      </c>
      <c r="C30" s="173">
        <f t="shared" si="9"/>
        <v>0</v>
      </c>
      <c r="D30" s="173">
        <f t="shared" si="9"/>
        <v>0</v>
      </c>
      <c r="E30" s="173">
        <f t="shared" si="9"/>
        <v>0</v>
      </c>
      <c r="F30" s="173">
        <f t="shared" si="9"/>
        <v>0</v>
      </c>
      <c r="G30" s="173">
        <f t="shared" si="9"/>
        <v>0</v>
      </c>
      <c r="H30" s="173">
        <f t="shared" si="9"/>
        <v>0</v>
      </c>
      <c r="I30" s="173">
        <f t="shared" si="9"/>
        <v>0</v>
      </c>
      <c r="J30" s="173">
        <f t="shared" si="9"/>
        <v>0</v>
      </c>
      <c r="K30" s="173">
        <f t="shared" si="9"/>
        <v>0</v>
      </c>
      <c r="L30" s="173">
        <f t="shared" si="9"/>
        <v>0</v>
      </c>
      <c r="M30" s="190">
        <f t="shared" si="9"/>
        <v>0</v>
      </c>
      <c r="N30" s="173">
        <f t="shared" si="9"/>
        <v>0</v>
      </c>
    </row>
    <row r="31" spans="1:14" s="30" customFormat="1" ht="12.75" x14ac:dyDescent="0.2">
      <c r="A31" s="33" t="s">
        <v>115</v>
      </c>
      <c r="B31" s="34"/>
      <c r="C31" s="35"/>
      <c r="D31" s="35"/>
      <c r="E31" s="35"/>
      <c r="F31" s="35"/>
      <c r="G31" s="35"/>
      <c r="H31" s="35"/>
      <c r="I31" s="35"/>
      <c r="J31" s="35"/>
      <c r="K31" s="35"/>
      <c r="L31" s="35"/>
      <c r="M31" s="35"/>
      <c r="N31" s="24"/>
    </row>
    <row r="32" spans="1:14" s="30" customFormat="1" x14ac:dyDescent="0.2">
      <c r="A32" s="8" t="s">
        <v>116</v>
      </c>
      <c r="B32" s="20">
        <v>1</v>
      </c>
      <c r="C32" s="20">
        <v>1</v>
      </c>
      <c r="D32" s="20">
        <v>1</v>
      </c>
      <c r="E32" s="20">
        <v>1</v>
      </c>
      <c r="F32" s="20">
        <v>1</v>
      </c>
      <c r="G32" s="20">
        <v>1</v>
      </c>
      <c r="H32" s="20">
        <v>1</v>
      </c>
      <c r="I32" s="20">
        <v>1</v>
      </c>
      <c r="J32" s="20">
        <v>1</v>
      </c>
      <c r="K32" s="20">
        <v>1</v>
      </c>
      <c r="L32" s="20">
        <v>1</v>
      </c>
      <c r="M32" s="20">
        <v>1</v>
      </c>
      <c r="N32" s="20">
        <v>1</v>
      </c>
    </row>
    <row r="33" spans="1:31" s="30" customFormat="1" x14ac:dyDescent="0.2">
      <c r="A33" s="8" t="s">
        <v>117</v>
      </c>
      <c r="B33" s="36">
        <v>0.8</v>
      </c>
      <c r="C33" s="36">
        <v>0.8</v>
      </c>
      <c r="D33" s="36">
        <v>0.8</v>
      </c>
      <c r="E33" s="36">
        <v>0.8</v>
      </c>
      <c r="F33" s="36">
        <v>0.8</v>
      </c>
      <c r="G33" s="36">
        <v>0.8</v>
      </c>
      <c r="H33" s="36">
        <v>0.8</v>
      </c>
      <c r="I33" s="36">
        <v>0.8</v>
      </c>
      <c r="J33" s="36">
        <v>0.8</v>
      </c>
      <c r="K33" s="36">
        <v>0.8</v>
      </c>
      <c r="L33" s="36">
        <v>0.8</v>
      </c>
      <c r="M33" s="36">
        <v>0.8</v>
      </c>
      <c r="N33" s="36">
        <v>0.8</v>
      </c>
    </row>
    <row r="34" spans="1:31" s="30" customFormat="1" x14ac:dyDescent="0.2">
      <c r="A34" s="8" t="s">
        <v>118</v>
      </c>
      <c r="B34" s="36">
        <f>((B36*$B$143)/$B$2)</f>
        <v>0.65118451785118447</v>
      </c>
      <c r="C34" s="36">
        <f t="shared" ref="C34:N34" si="10">((C36*$B$143)/$B$2)</f>
        <v>0.65118451785118447</v>
      </c>
      <c r="D34" s="36">
        <f t="shared" si="10"/>
        <v>0.65118451785118447</v>
      </c>
      <c r="E34" s="36">
        <f t="shared" si="10"/>
        <v>0.65118451785118447</v>
      </c>
      <c r="F34" s="36">
        <f t="shared" si="10"/>
        <v>0.65118451785118447</v>
      </c>
      <c r="G34" s="36">
        <f t="shared" si="10"/>
        <v>0.65118451785118447</v>
      </c>
      <c r="H34" s="36">
        <f t="shared" si="10"/>
        <v>0.65118451785118447</v>
      </c>
      <c r="I34" s="36">
        <f t="shared" si="10"/>
        <v>0.65118451785118447</v>
      </c>
      <c r="J34" s="36">
        <f t="shared" si="10"/>
        <v>0.65118451785118447</v>
      </c>
      <c r="K34" s="36">
        <f t="shared" si="10"/>
        <v>0.65118451785118447</v>
      </c>
      <c r="L34" s="36">
        <f t="shared" si="10"/>
        <v>0.65118451785118447</v>
      </c>
      <c r="M34" s="36">
        <f t="shared" si="10"/>
        <v>0.65118451785118447</v>
      </c>
      <c r="N34" s="36">
        <f t="shared" si="10"/>
        <v>0.65118451785118447</v>
      </c>
    </row>
    <row r="35" spans="1:31" s="30" customFormat="1" x14ac:dyDescent="0.2">
      <c r="A35" s="24" t="s">
        <v>119</v>
      </c>
      <c r="B35" s="132">
        <f t="shared" ref="B35:N35" si="11">ROUND($B$2*B$32,2)</f>
        <v>12</v>
      </c>
      <c r="C35" s="132">
        <f t="shared" si="11"/>
        <v>12</v>
      </c>
      <c r="D35" s="132">
        <f t="shared" si="11"/>
        <v>12</v>
      </c>
      <c r="E35" s="132">
        <f t="shared" si="11"/>
        <v>12</v>
      </c>
      <c r="F35" s="132">
        <f t="shared" si="11"/>
        <v>12</v>
      </c>
      <c r="G35" s="132">
        <f t="shared" si="11"/>
        <v>12</v>
      </c>
      <c r="H35" s="132">
        <f t="shared" si="11"/>
        <v>12</v>
      </c>
      <c r="I35" s="132">
        <f t="shared" si="11"/>
        <v>12</v>
      </c>
      <c r="J35" s="132">
        <f t="shared" si="11"/>
        <v>12</v>
      </c>
      <c r="K35" s="132">
        <f t="shared" si="11"/>
        <v>12</v>
      </c>
      <c r="L35" s="132">
        <f t="shared" si="11"/>
        <v>12</v>
      </c>
      <c r="M35" s="132">
        <f t="shared" si="11"/>
        <v>12</v>
      </c>
      <c r="N35" s="132">
        <f t="shared" si="11"/>
        <v>12</v>
      </c>
    </row>
    <row r="36" spans="1:31" x14ac:dyDescent="0.2">
      <c r="A36" s="24" t="s">
        <v>120</v>
      </c>
      <c r="B36" s="132">
        <f t="shared" ref="B36:N36" si="12">ROUND($B$2*B$33,2)</f>
        <v>9.6</v>
      </c>
      <c r="C36" s="132">
        <f t="shared" si="12"/>
        <v>9.6</v>
      </c>
      <c r="D36" s="132">
        <f t="shared" si="12"/>
        <v>9.6</v>
      </c>
      <c r="E36" s="132">
        <f t="shared" si="12"/>
        <v>9.6</v>
      </c>
      <c r="F36" s="132">
        <f t="shared" si="12"/>
        <v>9.6</v>
      </c>
      <c r="G36" s="132">
        <f t="shared" si="12"/>
        <v>9.6</v>
      </c>
      <c r="H36" s="132">
        <f t="shared" si="12"/>
        <v>9.6</v>
      </c>
      <c r="I36" s="132">
        <f t="shared" si="12"/>
        <v>9.6</v>
      </c>
      <c r="J36" s="132">
        <f t="shared" si="12"/>
        <v>9.6</v>
      </c>
      <c r="K36" s="132">
        <f t="shared" si="12"/>
        <v>9.6</v>
      </c>
      <c r="L36" s="132">
        <f t="shared" si="12"/>
        <v>9.6</v>
      </c>
      <c r="M36" s="132">
        <f t="shared" si="12"/>
        <v>9.6</v>
      </c>
      <c r="N36" s="132">
        <f t="shared" si="12"/>
        <v>9.6</v>
      </c>
    </row>
    <row r="37" spans="1:31" x14ac:dyDescent="0.2">
      <c r="A37" s="202" t="s">
        <v>121</v>
      </c>
      <c r="B37" s="360">
        <f>B34*$B$2</f>
        <v>7.8142142142142141</v>
      </c>
      <c r="C37" s="360">
        <f t="shared" ref="C37:N37" si="13">C34*$B$2</f>
        <v>7.8142142142142141</v>
      </c>
      <c r="D37" s="360">
        <f t="shared" si="13"/>
        <v>7.8142142142142141</v>
      </c>
      <c r="E37" s="360">
        <f t="shared" si="13"/>
        <v>7.8142142142142141</v>
      </c>
      <c r="F37" s="360">
        <f t="shared" si="13"/>
        <v>7.8142142142142141</v>
      </c>
      <c r="G37" s="360">
        <f t="shared" si="13"/>
        <v>7.8142142142142141</v>
      </c>
      <c r="H37" s="360">
        <f t="shared" si="13"/>
        <v>7.8142142142142141</v>
      </c>
      <c r="I37" s="360">
        <f t="shared" si="13"/>
        <v>7.8142142142142141</v>
      </c>
      <c r="J37" s="360">
        <f t="shared" si="13"/>
        <v>7.8142142142142141</v>
      </c>
      <c r="K37" s="360">
        <f t="shared" si="13"/>
        <v>7.8142142142142141</v>
      </c>
      <c r="L37" s="360">
        <f t="shared" si="13"/>
        <v>7.8142142142142141</v>
      </c>
      <c r="M37" s="360">
        <f t="shared" si="13"/>
        <v>7.8142142142142141</v>
      </c>
      <c r="N37" s="360">
        <f t="shared" si="13"/>
        <v>7.8142142142142141</v>
      </c>
    </row>
    <row r="38" spans="1:31" s="225" customFormat="1" ht="12.75" x14ac:dyDescent="0.2">
      <c r="A38" s="222" t="s">
        <v>122</v>
      </c>
      <c r="B38" s="345"/>
      <c r="C38" s="361"/>
      <c r="D38" s="361"/>
      <c r="E38" s="361"/>
      <c r="F38" s="361"/>
      <c r="G38" s="361"/>
      <c r="H38" s="361"/>
      <c r="I38" s="361"/>
      <c r="J38" s="361"/>
      <c r="K38" s="361"/>
      <c r="L38" s="361"/>
      <c r="M38" s="361"/>
      <c r="N38" s="361"/>
      <c r="O38" s="234"/>
      <c r="P38" s="232"/>
      <c r="Q38" s="232"/>
      <c r="R38" s="232"/>
      <c r="S38" s="232"/>
      <c r="T38" s="232"/>
      <c r="U38" s="232"/>
      <c r="V38" s="232"/>
      <c r="W38" s="232"/>
      <c r="X38" s="232"/>
      <c r="Y38" s="232"/>
      <c r="Z38" s="232"/>
      <c r="AA38" s="232"/>
      <c r="AB38" s="232"/>
      <c r="AC38" s="233"/>
      <c r="AD38" s="224"/>
      <c r="AE38" s="224"/>
    </row>
    <row r="39" spans="1:31" s="225" customFormat="1" ht="12.75" x14ac:dyDescent="0.2">
      <c r="A39" s="240" t="s">
        <v>123</v>
      </c>
      <c r="B39" s="323">
        <f t="shared" ref="B39:N39" si="14">IF($B144&gt;=0.9, B$36,B$36*$B144)</f>
        <v>6.6958386958386953</v>
      </c>
      <c r="C39" s="323">
        <f t="shared" si="14"/>
        <v>6.6958386958386953</v>
      </c>
      <c r="D39" s="323">
        <f t="shared" si="14"/>
        <v>6.6958386958386953</v>
      </c>
      <c r="E39" s="323">
        <f t="shared" si="14"/>
        <v>6.6958386958386953</v>
      </c>
      <c r="F39" s="323">
        <f t="shared" si="14"/>
        <v>6.6958386958386953</v>
      </c>
      <c r="G39" s="323">
        <f t="shared" si="14"/>
        <v>6.6958386958386953</v>
      </c>
      <c r="H39" s="323">
        <f t="shared" si="14"/>
        <v>6.6958386958386953</v>
      </c>
      <c r="I39" s="323">
        <f t="shared" si="14"/>
        <v>6.6958386958386953</v>
      </c>
      <c r="J39" s="323">
        <f t="shared" si="14"/>
        <v>6.6958386958386953</v>
      </c>
      <c r="K39" s="323">
        <f t="shared" si="14"/>
        <v>6.6958386958386953</v>
      </c>
      <c r="L39" s="323">
        <f t="shared" si="14"/>
        <v>6.6958386958386953</v>
      </c>
      <c r="M39" s="323">
        <f t="shared" si="14"/>
        <v>6.6958386958386953</v>
      </c>
      <c r="N39" s="323">
        <f t="shared" si="14"/>
        <v>6.6958386958386953</v>
      </c>
      <c r="O39" s="232"/>
      <c r="P39" s="232"/>
      <c r="Q39" s="232"/>
      <c r="R39" s="232"/>
      <c r="S39" s="232"/>
      <c r="T39" s="232"/>
      <c r="U39" s="232"/>
      <c r="V39" s="232"/>
      <c r="W39" s="232"/>
      <c r="X39" s="232"/>
      <c r="Y39" s="232"/>
      <c r="Z39" s="232"/>
      <c r="AA39" s="232"/>
      <c r="AB39" s="232"/>
      <c r="AC39" s="233"/>
      <c r="AD39" s="224"/>
      <c r="AE39" s="224"/>
    </row>
    <row r="40" spans="1:31" s="225" customFormat="1" ht="12.75" x14ac:dyDescent="0.2">
      <c r="A40" s="240" t="s">
        <v>124</v>
      </c>
      <c r="B40" s="323">
        <f t="shared" ref="B40:N40" si="15">IF($B145&gt;=0.9, B$36,B$36*$B145)</f>
        <v>1.4579150579150579</v>
      </c>
      <c r="C40" s="323">
        <f t="shared" si="15"/>
        <v>1.4579150579150579</v>
      </c>
      <c r="D40" s="323">
        <f t="shared" si="15"/>
        <v>1.4579150579150579</v>
      </c>
      <c r="E40" s="323">
        <f t="shared" si="15"/>
        <v>1.4579150579150579</v>
      </c>
      <c r="F40" s="323">
        <f t="shared" si="15"/>
        <v>1.4579150579150579</v>
      </c>
      <c r="G40" s="323">
        <f t="shared" si="15"/>
        <v>1.4579150579150579</v>
      </c>
      <c r="H40" s="323">
        <f t="shared" si="15"/>
        <v>1.4579150579150579</v>
      </c>
      <c r="I40" s="323">
        <f t="shared" si="15"/>
        <v>1.4579150579150579</v>
      </c>
      <c r="J40" s="323">
        <f t="shared" si="15"/>
        <v>1.4579150579150579</v>
      </c>
      <c r="K40" s="323">
        <f t="shared" si="15"/>
        <v>1.4579150579150579</v>
      </c>
      <c r="L40" s="323">
        <f t="shared" si="15"/>
        <v>1.4579150579150579</v>
      </c>
      <c r="M40" s="323">
        <f t="shared" si="15"/>
        <v>1.4579150579150579</v>
      </c>
      <c r="N40" s="323">
        <f t="shared" si="15"/>
        <v>1.4579150579150579</v>
      </c>
      <c r="O40" s="232"/>
      <c r="P40" s="232"/>
      <c r="Q40" s="232"/>
      <c r="R40" s="232"/>
      <c r="S40" s="232"/>
      <c r="T40" s="232"/>
      <c r="U40" s="232"/>
      <c r="V40" s="232"/>
      <c r="W40" s="232"/>
      <c r="X40" s="232"/>
      <c r="Y40" s="232"/>
      <c r="Z40" s="232"/>
      <c r="AA40" s="232"/>
      <c r="AB40" s="232"/>
      <c r="AC40" s="233"/>
      <c r="AD40" s="224"/>
      <c r="AE40" s="224"/>
    </row>
    <row r="41" spans="1:31" s="225" customFormat="1" ht="12.75" x14ac:dyDescent="0.2">
      <c r="A41" s="240" t="s">
        <v>125</v>
      </c>
      <c r="B41" s="323">
        <f t="shared" ref="B41:N41" si="16">IF($B146&gt;=0.9, B$36,B$36*$B146)</f>
        <v>3.8170742170742167</v>
      </c>
      <c r="C41" s="323">
        <f t="shared" si="16"/>
        <v>3.8170742170742167</v>
      </c>
      <c r="D41" s="323">
        <f t="shared" si="16"/>
        <v>3.8170742170742167</v>
      </c>
      <c r="E41" s="323">
        <f t="shared" si="16"/>
        <v>3.8170742170742167</v>
      </c>
      <c r="F41" s="323">
        <f t="shared" si="16"/>
        <v>3.8170742170742167</v>
      </c>
      <c r="G41" s="323">
        <f t="shared" si="16"/>
        <v>3.8170742170742167</v>
      </c>
      <c r="H41" s="323">
        <f t="shared" si="16"/>
        <v>3.8170742170742167</v>
      </c>
      <c r="I41" s="323">
        <f t="shared" si="16"/>
        <v>3.8170742170742167</v>
      </c>
      <c r="J41" s="323">
        <f t="shared" si="16"/>
        <v>3.8170742170742167</v>
      </c>
      <c r="K41" s="323">
        <f t="shared" si="16"/>
        <v>3.8170742170742167</v>
      </c>
      <c r="L41" s="323">
        <f t="shared" si="16"/>
        <v>3.8170742170742167</v>
      </c>
      <c r="M41" s="323">
        <f t="shared" si="16"/>
        <v>3.8170742170742167</v>
      </c>
      <c r="N41" s="323">
        <f t="shared" si="16"/>
        <v>3.8170742170742167</v>
      </c>
      <c r="O41" s="232"/>
      <c r="P41" s="232"/>
      <c r="Q41" s="232"/>
      <c r="R41" s="232"/>
      <c r="S41" s="232"/>
      <c r="T41" s="232"/>
      <c r="U41" s="232"/>
      <c r="V41" s="232"/>
      <c r="W41" s="232"/>
      <c r="X41" s="232"/>
      <c r="Y41" s="232"/>
      <c r="Z41" s="232"/>
      <c r="AA41" s="232"/>
      <c r="AB41" s="232"/>
      <c r="AC41" s="233"/>
      <c r="AD41" s="224"/>
      <c r="AE41" s="224"/>
    </row>
    <row r="42" spans="1:31" s="225" customFormat="1" ht="12.75" x14ac:dyDescent="0.2">
      <c r="A42" s="240" t="s">
        <v>126</v>
      </c>
      <c r="B42" s="323">
        <f t="shared" ref="B42:N42" si="17">IF($B147&gt;=0.9, B$36,B$36*$B147)</f>
        <v>6.584641784641784</v>
      </c>
      <c r="C42" s="323">
        <f t="shared" si="17"/>
        <v>6.584641784641784</v>
      </c>
      <c r="D42" s="323">
        <f t="shared" si="17"/>
        <v>6.584641784641784</v>
      </c>
      <c r="E42" s="323">
        <f t="shared" si="17"/>
        <v>6.584641784641784</v>
      </c>
      <c r="F42" s="323">
        <f t="shared" si="17"/>
        <v>6.584641784641784</v>
      </c>
      <c r="G42" s="323">
        <f t="shared" si="17"/>
        <v>6.584641784641784</v>
      </c>
      <c r="H42" s="323">
        <f t="shared" si="17"/>
        <v>6.584641784641784</v>
      </c>
      <c r="I42" s="323">
        <f t="shared" si="17"/>
        <v>6.584641784641784</v>
      </c>
      <c r="J42" s="323">
        <f t="shared" si="17"/>
        <v>6.584641784641784</v>
      </c>
      <c r="K42" s="323">
        <f t="shared" si="17"/>
        <v>6.584641784641784</v>
      </c>
      <c r="L42" s="323">
        <f t="shared" si="17"/>
        <v>6.584641784641784</v>
      </c>
      <c r="M42" s="323">
        <f t="shared" si="17"/>
        <v>6.584641784641784</v>
      </c>
      <c r="N42" s="323">
        <f t="shared" si="17"/>
        <v>6.584641784641784</v>
      </c>
      <c r="O42" s="232"/>
      <c r="P42" s="232"/>
      <c r="Q42" s="232"/>
      <c r="R42" s="232"/>
      <c r="S42" s="232"/>
      <c r="T42" s="232"/>
      <c r="U42" s="232"/>
      <c r="V42" s="232"/>
      <c r="W42" s="232"/>
      <c r="X42" s="232"/>
      <c r="Y42" s="232"/>
      <c r="Z42" s="232"/>
      <c r="AA42" s="232"/>
      <c r="AB42" s="232"/>
      <c r="AC42" s="233"/>
      <c r="AD42" s="224"/>
      <c r="AE42" s="224"/>
    </row>
    <row r="43" spans="1:31" s="225" customFormat="1" ht="12.75" x14ac:dyDescent="0.2">
      <c r="A43" s="240" t="s">
        <v>127</v>
      </c>
      <c r="B43" s="323">
        <f t="shared" ref="B43:N43" si="18">IF($B148&gt;=0.9, B$36,B$36*$B148)</f>
        <v>6.6958386958386953</v>
      </c>
      <c r="C43" s="323">
        <f t="shared" si="18"/>
        <v>6.6958386958386953</v>
      </c>
      <c r="D43" s="323">
        <f t="shared" si="18"/>
        <v>6.6958386958386953</v>
      </c>
      <c r="E43" s="323">
        <f t="shared" si="18"/>
        <v>6.6958386958386953</v>
      </c>
      <c r="F43" s="323">
        <f t="shared" si="18"/>
        <v>6.6958386958386953</v>
      </c>
      <c r="G43" s="323">
        <f t="shared" si="18"/>
        <v>6.6958386958386953</v>
      </c>
      <c r="H43" s="323">
        <f t="shared" si="18"/>
        <v>6.6958386958386953</v>
      </c>
      <c r="I43" s="323">
        <f t="shared" si="18"/>
        <v>6.6958386958386953</v>
      </c>
      <c r="J43" s="323">
        <f t="shared" si="18"/>
        <v>6.6958386958386953</v>
      </c>
      <c r="K43" s="323">
        <f t="shared" si="18"/>
        <v>6.6958386958386953</v>
      </c>
      <c r="L43" s="323">
        <f t="shared" si="18"/>
        <v>6.6958386958386953</v>
      </c>
      <c r="M43" s="323">
        <f t="shared" si="18"/>
        <v>6.6958386958386953</v>
      </c>
      <c r="N43" s="323">
        <f t="shared" si="18"/>
        <v>6.6958386958386953</v>
      </c>
      <c r="O43" s="232"/>
      <c r="P43" s="232"/>
      <c r="Q43" s="232"/>
      <c r="R43" s="232"/>
      <c r="S43" s="232"/>
      <c r="T43" s="232"/>
      <c r="U43" s="232"/>
      <c r="V43" s="232"/>
      <c r="W43" s="232"/>
      <c r="X43" s="232"/>
      <c r="Y43" s="232"/>
      <c r="Z43" s="232"/>
      <c r="AA43" s="232"/>
      <c r="AB43" s="232"/>
      <c r="AC43" s="233"/>
      <c r="AD43" s="224"/>
      <c r="AE43" s="224"/>
    </row>
    <row r="44" spans="1:31" s="225" customFormat="1" ht="12.75" x14ac:dyDescent="0.2">
      <c r="A44" s="240" t="s">
        <v>128</v>
      </c>
      <c r="B44" s="323">
        <f t="shared" ref="B44:N44" si="19">IF($B149&gt;=0.9, B$36,B$36*$B149)</f>
        <v>6.6958386958386953</v>
      </c>
      <c r="C44" s="323">
        <f t="shared" si="19"/>
        <v>6.6958386958386953</v>
      </c>
      <c r="D44" s="323">
        <f t="shared" si="19"/>
        <v>6.6958386958386953</v>
      </c>
      <c r="E44" s="323">
        <f t="shared" si="19"/>
        <v>6.6958386958386953</v>
      </c>
      <c r="F44" s="323">
        <f t="shared" si="19"/>
        <v>6.6958386958386953</v>
      </c>
      <c r="G44" s="323">
        <f t="shared" si="19"/>
        <v>6.6958386958386953</v>
      </c>
      <c r="H44" s="323">
        <f t="shared" si="19"/>
        <v>6.6958386958386953</v>
      </c>
      <c r="I44" s="323">
        <f t="shared" si="19"/>
        <v>6.6958386958386953</v>
      </c>
      <c r="J44" s="323">
        <f t="shared" si="19"/>
        <v>6.6958386958386953</v>
      </c>
      <c r="K44" s="323">
        <f t="shared" si="19"/>
        <v>6.6958386958386953</v>
      </c>
      <c r="L44" s="323">
        <f t="shared" si="19"/>
        <v>6.6958386958386953</v>
      </c>
      <c r="M44" s="323">
        <f t="shared" si="19"/>
        <v>6.6958386958386953</v>
      </c>
      <c r="N44" s="323">
        <f t="shared" si="19"/>
        <v>6.6958386958386953</v>
      </c>
      <c r="O44" s="232"/>
      <c r="P44" s="232"/>
      <c r="Q44" s="232"/>
      <c r="R44" s="232"/>
      <c r="S44" s="232"/>
      <c r="T44" s="232"/>
      <c r="U44" s="232"/>
      <c r="V44" s="232"/>
      <c r="W44" s="232"/>
      <c r="X44" s="232"/>
      <c r="Y44" s="232"/>
      <c r="Z44" s="232"/>
      <c r="AA44" s="232"/>
      <c r="AB44" s="232"/>
      <c r="AC44" s="233"/>
      <c r="AD44" s="224"/>
      <c r="AE44" s="224"/>
    </row>
    <row r="45" spans="1:31" s="225" customFormat="1" ht="12.75" x14ac:dyDescent="0.2">
      <c r="A45" s="240" t="s">
        <v>129</v>
      </c>
      <c r="B45" s="323">
        <f>IF(B$13="Deploy",B$36,IF($B150&gt;=0.9, B$36,B$36*$B150))</f>
        <v>9.6</v>
      </c>
      <c r="C45" s="323">
        <f t="shared" ref="C45:N45" si="20">IF(C$13="Deploy",C$36,IF($B150&gt;=0.9, C$36,C$36*$B150))</f>
        <v>9.6</v>
      </c>
      <c r="D45" s="323">
        <f t="shared" si="20"/>
        <v>3.3551265551265548</v>
      </c>
      <c r="E45" s="323">
        <f t="shared" si="20"/>
        <v>3.3551265551265548</v>
      </c>
      <c r="F45" s="323">
        <f t="shared" si="20"/>
        <v>3.3551265551265548</v>
      </c>
      <c r="G45" s="323">
        <f t="shared" si="20"/>
        <v>9.6</v>
      </c>
      <c r="H45" s="323">
        <f t="shared" si="20"/>
        <v>9.6</v>
      </c>
      <c r="I45" s="323">
        <f t="shared" si="20"/>
        <v>9.6</v>
      </c>
      <c r="J45" s="323">
        <f t="shared" si="20"/>
        <v>3.3551265551265548</v>
      </c>
      <c r="K45" s="323">
        <f t="shared" si="20"/>
        <v>3.3551265551265548</v>
      </c>
      <c r="L45" s="323">
        <f t="shared" si="20"/>
        <v>3.3551265551265548</v>
      </c>
      <c r="M45" s="323">
        <f t="shared" si="20"/>
        <v>3.3551265551265548</v>
      </c>
      <c r="N45" s="323">
        <f t="shared" si="20"/>
        <v>3.3551265551265548</v>
      </c>
      <c r="O45" s="232"/>
      <c r="P45" s="232"/>
      <c r="Q45" s="232"/>
      <c r="R45" s="232"/>
      <c r="S45" s="232"/>
      <c r="T45" s="232"/>
      <c r="U45" s="232"/>
      <c r="V45" s="232"/>
      <c r="W45" s="232"/>
      <c r="X45" s="232"/>
      <c r="Y45" s="232"/>
      <c r="Z45" s="232"/>
      <c r="AA45" s="232"/>
      <c r="AB45" s="232"/>
      <c r="AC45" s="233"/>
      <c r="AD45" s="224"/>
      <c r="AE45" s="224"/>
    </row>
    <row r="46" spans="1:31" s="225" customFormat="1" ht="12.75" x14ac:dyDescent="0.2">
      <c r="A46" s="240" t="s">
        <v>130</v>
      </c>
      <c r="B46" s="323">
        <f t="shared" ref="B46:N46" si="21">IF($B151&gt;=0.9, B$36,B$36*$B151)</f>
        <v>7.1468039468039457</v>
      </c>
      <c r="C46" s="323">
        <f t="shared" si="21"/>
        <v>7.1468039468039457</v>
      </c>
      <c r="D46" s="323">
        <f t="shared" si="21"/>
        <v>7.1468039468039457</v>
      </c>
      <c r="E46" s="323">
        <f t="shared" si="21"/>
        <v>7.1468039468039457</v>
      </c>
      <c r="F46" s="323">
        <f t="shared" si="21"/>
        <v>7.1468039468039457</v>
      </c>
      <c r="G46" s="323">
        <f t="shared" si="21"/>
        <v>7.1468039468039457</v>
      </c>
      <c r="H46" s="323">
        <f t="shared" si="21"/>
        <v>7.1468039468039457</v>
      </c>
      <c r="I46" s="323">
        <f t="shared" si="21"/>
        <v>7.1468039468039457</v>
      </c>
      <c r="J46" s="323">
        <f t="shared" si="21"/>
        <v>7.1468039468039457</v>
      </c>
      <c r="K46" s="323">
        <f t="shared" si="21"/>
        <v>7.1468039468039457</v>
      </c>
      <c r="L46" s="323">
        <f t="shared" si="21"/>
        <v>7.1468039468039457</v>
      </c>
      <c r="M46" s="323">
        <f t="shared" si="21"/>
        <v>7.1468039468039457</v>
      </c>
      <c r="N46" s="323">
        <f t="shared" si="21"/>
        <v>7.1468039468039457</v>
      </c>
      <c r="O46" s="232"/>
      <c r="P46" s="232"/>
      <c r="Q46" s="232"/>
      <c r="R46" s="232"/>
      <c r="S46" s="232"/>
      <c r="T46" s="232"/>
      <c r="U46" s="232"/>
      <c r="V46" s="232"/>
      <c r="W46" s="232"/>
      <c r="X46" s="232"/>
      <c r="Y46" s="232"/>
      <c r="Z46" s="232"/>
      <c r="AA46" s="232"/>
      <c r="AB46" s="232"/>
      <c r="AC46" s="233"/>
      <c r="AD46" s="224"/>
      <c r="AE46" s="224"/>
    </row>
    <row r="47" spans="1:31" s="225" customFormat="1" ht="12.75" x14ac:dyDescent="0.2">
      <c r="A47" s="240" t="s">
        <v>131</v>
      </c>
      <c r="B47" s="323">
        <f>IF(B$13="Deploy",B$36,IF($B152&gt;=0.9, B$36,B$36*$B152))</f>
        <v>9.6</v>
      </c>
      <c r="C47" s="323">
        <f t="shared" ref="C47:N47" si="22">IF(C$13="Deploy",C$36,IF($B152&gt;=0.9, C$36,C$36*$B152))</f>
        <v>9.6</v>
      </c>
      <c r="D47" s="323">
        <f t="shared" si="22"/>
        <v>3.1296439296439296</v>
      </c>
      <c r="E47" s="323">
        <f t="shared" si="22"/>
        <v>3.1296439296439296</v>
      </c>
      <c r="F47" s="323">
        <f t="shared" si="22"/>
        <v>3.1296439296439296</v>
      </c>
      <c r="G47" s="323">
        <f t="shared" si="22"/>
        <v>9.6</v>
      </c>
      <c r="H47" s="323">
        <f t="shared" si="22"/>
        <v>9.6</v>
      </c>
      <c r="I47" s="323">
        <f t="shared" si="22"/>
        <v>9.6</v>
      </c>
      <c r="J47" s="323">
        <f t="shared" si="22"/>
        <v>3.1296439296439296</v>
      </c>
      <c r="K47" s="323">
        <f t="shared" si="22"/>
        <v>3.1296439296439296</v>
      </c>
      <c r="L47" s="323">
        <f t="shared" si="22"/>
        <v>3.1296439296439296</v>
      </c>
      <c r="M47" s="323">
        <f t="shared" si="22"/>
        <v>3.1296439296439296</v>
      </c>
      <c r="N47" s="323">
        <f t="shared" si="22"/>
        <v>3.1296439296439296</v>
      </c>
      <c r="O47" s="232"/>
      <c r="P47" s="232"/>
      <c r="Q47" s="232"/>
      <c r="R47" s="232"/>
      <c r="S47" s="232"/>
      <c r="T47" s="232"/>
      <c r="U47" s="232"/>
      <c r="V47" s="232"/>
      <c r="W47" s="232"/>
      <c r="X47" s="232"/>
      <c r="Y47" s="232"/>
      <c r="Z47" s="232"/>
      <c r="AA47" s="232"/>
      <c r="AB47" s="232"/>
      <c r="AC47" s="233"/>
      <c r="AD47" s="224"/>
      <c r="AE47" s="224"/>
    </row>
    <row r="48" spans="1:31" s="225" customFormat="1" ht="12.75" x14ac:dyDescent="0.2">
      <c r="A48" s="240" t="s">
        <v>132</v>
      </c>
      <c r="B48" s="323">
        <f t="shared" ref="B48:N48" si="23">IF($B153&gt;=0.9, B$36,B$36*$B153)</f>
        <v>9.6</v>
      </c>
      <c r="C48" s="323">
        <f t="shared" si="23"/>
        <v>9.6</v>
      </c>
      <c r="D48" s="323">
        <f t="shared" si="23"/>
        <v>9.6</v>
      </c>
      <c r="E48" s="323">
        <f t="shared" si="23"/>
        <v>9.6</v>
      </c>
      <c r="F48" s="323">
        <f t="shared" si="23"/>
        <v>9.6</v>
      </c>
      <c r="G48" s="323">
        <f t="shared" si="23"/>
        <v>9.6</v>
      </c>
      <c r="H48" s="323">
        <f t="shared" si="23"/>
        <v>9.6</v>
      </c>
      <c r="I48" s="323">
        <f t="shared" si="23"/>
        <v>9.6</v>
      </c>
      <c r="J48" s="323">
        <f t="shared" si="23"/>
        <v>9.6</v>
      </c>
      <c r="K48" s="323">
        <f t="shared" si="23"/>
        <v>9.6</v>
      </c>
      <c r="L48" s="323">
        <f t="shared" si="23"/>
        <v>9.6</v>
      </c>
      <c r="M48" s="323">
        <f t="shared" si="23"/>
        <v>9.6</v>
      </c>
      <c r="N48" s="323">
        <f t="shared" si="23"/>
        <v>9.6</v>
      </c>
      <c r="O48" s="232"/>
      <c r="P48" s="232"/>
      <c r="Q48" s="232"/>
      <c r="R48" s="232"/>
      <c r="S48" s="232"/>
      <c r="T48" s="232"/>
      <c r="U48" s="232"/>
      <c r="V48" s="232"/>
      <c r="W48" s="232"/>
      <c r="X48" s="232"/>
      <c r="Y48" s="232"/>
      <c r="Z48" s="232"/>
      <c r="AA48" s="232"/>
      <c r="AB48" s="232"/>
      <c r="AC48" s="233"/>
      <c r="AD48" s="224"/>
      <c r="AE48" s="224"/>
    </row>
    <row r="49" spans="1:31" s="225" customFormat="1" ht="12.75" x14ac:dyDescent="0.2">
      <c r="A49" s="226" t="s">
        <v>133</v>
      </c>
      <c r="B49" s="227"/>
      <c r="C49" s="228"/>
      <c r="D49" s="228"/>
      <c r="E49" s="228"/>
      <c r="F49" s="228"/>
      <c r="G49" s="228"/>
      <c r="H49" s="228"/>
      <c r="I49" s="228"/>
      <c r="J49" s="229"/>
      <c r="K49" s="229"/>
      <c r="L49" s="228"/>
      <c r="M49" s="228"/>
      <c r="N49" s="230"/>
      <c r="O49" s="239"/>
      <c r="P49" s="237"/>
      <c r="Q49" s="238"/>
      <c r="R49" s="236"/>
      <c r="S49" s="236"/>
      <c r="T49" s="236"/>
      <c r="U49" s="236"/>
      <c r="V49" s="236"/>
      <c r="W49" s="236"/>
      <c r="X49" s="236"/>
      <c r="Y49" s="236"/>
      <c r="Z49" s="236"/>
      <c r="AA49" s="236"/>
      <c r="AB49" s="236"/>
      <c r="AC49" s="236"/>
      <c r="AD49" s="235"/>
      <c r="AE49" s="224"/>
    </row>
    <row r="50" spans="1:31" x14ac:dyDescent="0.2">
      <c r="A50" s="296" t="s">
        <v>134</v>
      </c>
      <c r="B50" s="67">
        <v>9</v>
      </c>
      <c r="C50" s="67">
        <v>9</v>
      </c>
      <c r="D50" s="67">
        <v>9</v>
      </c>
      <c r="E50" s="67">
        <v>9</v>
      </c>
      <c r="F50" s="67">
        <v>9</v>
      </c>
      <c r="G50" s="67">
        <v>9</v>
      </c>
      <c r="H50" s="67">
        <v>9</v>
      </c>
      <c r="I50" s="67">
        <v>9</v>
      </c>
      <c r="J50" s="67">
        <v>9</v>
      </c>
      <c r="K50" s="67">
        <v>9</v>
      </c>
      <c r="L50" s="67">
        <v>9</v>
      </c>
      <c r="M50" s="67">
        <v>9</v>
      </c>
      <c r="N50" s="67">
        <v>9</v>
      </c>
    </row>
    <row r="51" spans="1:31" x14ac:dyDescent="0.2">
      <c r="A51" s="66" t="s">
        <v>135</v>
      </c>
      <c r="B51" s="67">
        <f t="shared" ref="B51:N51" si="24">ROUND(1*B50,2)</f>
        <v>9</v>
      </c>
      <c r="C51" s="67">
        <f t="shared" si="24"/>
        <v>9</v>
      </c>
      <c r="D51" s="67">
        <f t="shared" si="24"/>
        <v>9</v>
      </c>
      <c r="E51" s="67">
        <f t="shared" si="24"/>
        <v>9</v>
      </c>
      <c r="F51" s="67">
        <f t="shared" si="24"/>
        <v>9</v>
      </c>
      <c r="G51" s="67">
        <f t="shared" si="24"/>
        <v>9</v>
      </c>
      <c r="H51" s="67">
        <f t="shared" si="24"/>
        <v>9</v>
      </c>
      <c r="I51" s="67">
        <f t="shared" si="24"/>
        <v>9</v>
      </c>
      <c r="J51" s="67">
        <f t="shared" si="24"/>
        <v>9</v>
      </c>
      <c r="K51" s="67">
        <f t="shared" si="24"/>
        <v>9</v>
      </c>
      <c r="L51" s="67">
        <f t="shared" si="24"/>
        <v>9</v>
      </c>
      <c r="M51" s="67">
        <f t="shared" si="24"/>
        <v>9</v>
      </c>
      <c r="N51" s="67">
        <f t="shared" si="24"/>
        <v>9</v>
      </c>
    </row>
    <row r="52" spans="1:31" s="30" customFormat="1" x14ac:dyDescent="0.2">
      <c r="A52" s="90" t="s">
        <v>136</v>
      </c>
      <c r="B52" s="68">
        <v>4</v>
      </c>
      <c r="C52" s="68">
        <v>4</v>
      </c>
      <c r="D52" s="68">
        <v>4</v>
      </c>
      <c r="E52" s="68">
        <v>4</v>
      </c>
      <c r="F52" s="68">
        <v>4</v>
      </c>
      <c r="G52" s="68">
        <v>4</v>
      </c>
      <c r="H52" s="68">
        <v>4</v>
      </c>
      <c r="I52" s="68">
        <v>4</v>
      </c>
      <c r="J52" s="68">
        <v>4</v>
      </c>
      <c r="K52" s="68">
        <v>4</v>
      </c>
      <c r="L52" s="68">
        <v>4</v>
      </c>
      <c r="M52" s="68">
        <v>4</v>
      </c>
      <c r="N52" s="68">
        <v>4</v>
      </c>
    </row>
    <row r="53" spans="1:31" s="30" customFormat="1" x14ac:dyDescent="0.2">
      <c r="A53" s="64" t="s">
        <v>137</v>
      </c>
      <c r="B53" s="65">
        <v>3</v>
      </c>
      <c r="C53" s="65">
        <v>3</v>
      </c>
      <c r="D53" s="65">
        <v>3</v>
      </c>
      <c r="E53" s="65">
        <v>3</v>
      </c>
      <c r="F53" s="65">
        <v>3</v>
      </c>
      <c r="G53" s="65">
        <v>3</v>
      </c>
      <c r="H53" s="65">
        <v>3</v>
      </c>
      <c r="I53" s="65">
        <v>3</v>
      </c>
      <c r="J53" s="65">
        <v>3</v>
      </c>
      <c r="K53" s="65">
        <v>3</v>
      </c>
      <c r="L53" s="65">
        <v>3</v>
      </c>
      <c r="M53" s="65">
        <v>3</v>
      </c>
      <c r="N53" s="65">
        <v>3</v>
      </c>
    </row>
    <row r="54" spans="1:31" s="30" customFormat="1" ht="12.75" x14ac:dyDescent="0.2">
      <c r="A54" s="33" t="s">
        <v>138</v>
      </c>
      <c r="B54" s="39"/>
      <c r="C54" s="40"/>
      <c r="D54" s="40"/>
      <c r="E54" s="40"/>
      <c r="F54" s="40"/>
      <c r="G54" s="40"/>
      <c r="H54" s="40"/>
      <c r="I54" s="40"/>
      <c r="J54" s="40"/>
      <c r="K54" s="40"/>
      <c r="L54" s="40"/>
      <c r="M54" s="58"/>
      <c r="N54" s="111"/>
    </row>
    <row r="55" spans="1:31" x14ac:dyDescent="0.2">
      <c r="A55" s="19" t="s">
        <v>139</v>
      </c>
      <c r="B55" s="41">
        <f t="shared" ref="B55:M55" si="25">$B$95</f>
        <v>17</v>
      </c>
      <c r="C55" s="41">
        <f t="shared" si="25"/>
        <v>17</v>
      </c>
      <c r="D55" s="41">
        <f t="shared" si="25"/>
        <v>17</v>
      </c>
      <c r="E55" s="41">
        <f t="shared" si="25"/>
        <v>17</v>
      </c>
      <c r="F55" s="41">
        <f t="shared" si="25"/>
        <v>17</v>
      </c>
      <c r="G55" s="41">
        <f t="shared" si="25"/>
        <v>17</v>
      </c>
      <c r="H55" s="41">
        <f t="shared" si="25"/>
        <v>17</v>
      </c>
      <c r="I55" s="41">
        <f t="shared" si="25"/>
        <v>17</v>
      </c>
      <c r="J55" s="41">
        <f t="shared" si="25"/>
        <v>17</v>
      </c>
      <c r="K55" s="41">
        <f t="shared" si="25"/>
        <v>17</v>
      </c>
      <c r="L55" s="41">
        <f t="shared" si="25"/>
        <v>17</v>
      </c>
      <c r="M55" s="41">
        <f t="shared" si="25"/>
        <v>17</v>
      </c>
      <c r="N55" s="112">
        <f>$B$96</f>
        <v>17</v>
      </c>
    </row>
    <row r="56" spans="1:31" x14ac:dyDescent="0.2">
      <c r="A56" s="42" t="s">
        <v>140</v>
      </c>
      <c r="B56" s="43">
        <f t="shared" ref="B56:M56" si="26">ROUNDUP(IF(B$13="Deploy",MAX((B$89/100)*$B96,$B96),(B$89/100)*$B96),0)</f>
        <v>17</v>
      </c>
      <c r="C56" s="43">
        <f t="shared" si="26"/>
        <v>17</v>
      </c>
      <c r="D56" s="43">
        <f t="shared" si="26"/>
        <v>16</v>
      </c>
      <c r="E56" s="43">
        <f t="shared" si="26"/>
        <v>16</v>
      </c>
      <c r="F56" s="43">
        <f t="shared" si="26"/>
        <v>14</v>
      </c>
      <c r="G56" s="43">
        <f t="shared" si="26"/>
        <v>17</v>
      </c>
      <c r="H56" s="43">
        <f t="shared" si="26"/>
        <v>17</v>
      </c>
      <c r="I56" s="43">
        <f t="shared" si="26"/>
        <v>17</v>
      </c>
      <c r="J56" s="43">
        <f t="shared" si="26"/>
        <v>16</v>
      </c>
      <c r="K56" s="43">
        <f t="shared" si="26"/>
        <v>16</v>
      </c>
      <c r="L56" s="43">
        <f t="shared" si="26"/>
        <v>14</v>
      </c>
      <c r="M56" s="43">
        <f t="shared" si="26"/>
        <v>14</v>
      </c>
      <c r="N56" s="43">
        <f>ROUNDUP(IF(N$13="Deploy",MAX((N$89/100)*$B97,$B97),(N$89/100)*$B97),0)</f>
        <v>7</v>
      </c>
    </row>
    <row r="57" spans="1:31" x14ac:dyDescent="0.2">
      <c r="A57" s="66" t="s">
        <v>141</v>
      </c>
      <c r="B57" s="69">
        <f>B55</f>
        <v>17</v>
      </c>
      <c r="C57" s="69">
        <f t="shared" ref="C57:N58" si="27">C55</f>
        <v>17</v>
      </c>
      <c r="D57" s="69">
        <f t="shared" si="27"/>
        <v>17</v>
      </c>
      <c r="E57" s="69">
        <f t="shared" si="27"/>
        <v>17</v>
      </c>
      <c r="F57" s="69">
        <f t="shared" si="27"/>
        <v>17</v>
      </c>
      <c r="G57" s="69">
        <f t="shared" si="27"/>
        <v>17</v>
      </c>
      <c r="H57" s="69">
        <f t="shared" si="27"/>
        <v>17</v>
      </c>
      <c r="I57" s="69">
        <f t="shared" si="27"/>
        <v>17</v>
      </c>
      <c r="J57" s="69">
        <f t="shared" si="27"/>
        <v>17</v>
      </c>
      <c r="K57" s="69">
        <f t="shared" si="27"/>
        <v>17</v>
      </c>
      <c r="L57" s="69">
        <f t="shared" si="27"/>
        <v>17</v>
      </c>
      <c r="M57" s="69">
        <f t="shared" si="27"/>
        <v>17</v>
      </c>
      <c r="N57" s="69">
        <f t="shared" si="27"/>
        <v>17</v>
      </c>
    </row>
    <row r="58" spans="1:31" x14ac:dyDescent="0.2">
      <c r="A58" s="78" t="s">
        <v>142</v>
      </c>
      <c r="B58" s="79">
        <f>C58</f>
        <v>16</v>
      </c>
      <c r="C58" s="79">
        <f>D58</f>
        <v>16</v>
      </c>
      <c r="D58" s="79">
        <f t="shared" si="27"/>
        <v>16</v>
      </c>
      <c r="E58" s="79">
        <f t="shared" si="27"/>
        <v>16</v>
      </c>
      <c r="F58" s="79">
        <f t="shared" si="27"/>
        <v>14</v>
      </c>
      <c r="G58" s="79">
        <f t="shared" si="27"/>
        <v>17</v>
      </c>
      <c r="H58" s="79">
        <f t="shared" si="27"/>
        <v>17</v>
      </c>
      <c r="I58" s="79">
        <f t="shared" si="27"/>
        <v>17</v>
      </c>
      <c r="J58" s="79">
        <f t="shared" si="27"/>
        <v>16</v>
      </c>
      <c r="K58" s="79">
        <f t="shared" si="27"/>
        <v>16</v>
      </c>
      <c r="L58" s="79">
        <f t="shared" si="27"/>
        <v>14</v>
      </c>
      <c r="M58" s="79">
        <f t="shared" si="27"/>
        <v>14</v>
      </c>
      <c r="N58" s="79">
        <f t="shared" si="27"/>
        <v>7</v>
      </c>
    </row>
    <row r="59" spans="1:31" s="21" customFormat="1" x14ac:dyDescent="0.2">
      <c r="A59" s="42" t="str">
        <f t="shared" ref="A59:A74" si="28">A99</f>
        <v>&gt; L4 Pilots</v>
      </c>
      <c r="B59" s="197">
        <f t="shared" ref="B59:N59" si="29">ROUNDUP(IF(B$13="Deploy",MAX((B$89/100)*$B99,$B99),(B$89/100)*$B99),0)</f>
        <v>5</v>
      </c>
      <c r="C59" s="43">
        <f t="shared" si="29"/>
        <v>5</v>
      </c>
      <c r="D59" s="43">
        <f t="shared" si="29"/>
        <v>5</v>
      </c>
      <c r="E59" s="43">
        <f t="shared" si="29"/>
        <v>5</v>
      </c>
      <c r="F59" s="43">
        <f t="shared" si="29"/>
        <v>5</v>
      </c>
      <c r="G59" s="43">
        <f t="shared" si="29"/>
        <v>5</v>
      </c>
      <c r="H59" s="43">
        <f t="shared" si="29"/>
        <v>5</v>
      </c>
      <c r="I59" s="43">
        <f t="shared" si="29"/>
        <v>5</v>
      </c>
      <c r="J59" s="43">
        <f t="shared" si="29"/>
        <v>5</v>
      </c>
      <c r="K59" s="43">
        <f t="shared" si="29"/>
        <v>5</v>
      </c>
      <c r="L59" s="43">
        <f t="shared" si="29"/>
        <v>5</v>
      </c>
      <c r="M59" s="43">
        <f t="shared" si="29"/>
        <v>4</v>
      </c>
      <c r="N59" s="43">
        <f t="shared" si="29"/>
        <v>2</v>
      </c>
    </row>
    <row r="60" spans="1:31" x14ac:dyDescent="0.2">
      <c r="A60" s="42" t="str">
        <f t="shared" si="28"/>
        <v>&gt; L3 Pilots</v>
      </c>
      <c r="B60" s="197">
        <f t="shared" ref="B60:N60" si="30">ROUNDUP(IF(B$13="Deploy",MAX((B$89/100)*$B100,$B100),(B$89/100)*$B100),0)</f>
        <v>7</v>
      </c>
      <c r="C60" s="43">
        <f t="shared" si="30"/>
        <v>7</v>
      </c>
      <c r="D60" s="43">
        <f t="shared" si="30"/>
        <v>7</v>
      </c>
      <c r="E60" s="43">
        <f t="shared" si="30"/>
        <v>7</v>
      </c>
      <c r="F60" s="43">
        <f t="shared" si="30"/>
        <v>6</v>
      </c>
      <c r="G60" s="43">
        <f t="shared" si="30"/>
        <v>7</v>
      </c>
      <c r="H60" s="43">
        <f t="shared" si="30"/>
        <v>7</v>
      </c>
      <c r="I60" s="43">
        <f t="shared" si="30"/>
        <v>7</v>
      </c>
      <c r="J60" s="43">
        <f t="shared" si="30"/>
        <v>7</v>
      </c>
      <c r="K60" s="43">
        <f t="shared" si="30"/>
        <v>7</v>
      </c>
      <c r="L60" s="43">
        <f t="shared" si="30"/>
        <v>6</v>
      </c>
      <c r="M60" s="43">
        <f t="shared" si="30"/>
        <v>6</v>
      </c>
      <c r="N60" s="43">
        <f t="shared" si="30"/>
        <v>3</v>
      </c>
    </row>
    <row r="61" spans="1:31" x14ac:dyDescent="0.2">
      <c r="A61" s="42" t="str">
        <f t="shared" si="28"/>
        <v>&gt; L2 Pilots</v>
      </c>
      <c r="B61" s="197">
        <f t="shared" ref="B61:N61" si="31">ROUNDUP(IF(B$13="Deploy",MAX((B$89/100)*$B101,$B101),(B$89/100)*$B101),0)</f>
        <v>12</v>
      </c>
      <c r="C61" s="43">
        <f t="shared" si="31"/>
        <v>12</v>
      </c>
      <c r="D61" s="43">
        <f t="shared" si="31"/>
        <v>12</v>
      </c>
      <c r="E61" s="43">
        <f t="shared" si="31"/>
        <v>12</v>
      </c>
      <c r="F61" s="43">
        <f t="shared" si="31"/>
        <v>10</v>
      </c>
      <c r="G61" s="43">
        <f t="shared" si="31"/>
        <v>12</v>
      </c>
      <c r="H61" s="43">
        <f t="shared" si="31"/>
        <v>12</v>
      </c>
      <c r="I61" s="43">
        <f t="shared" si="31"/>
        <v>12</v>
      </c>
      <c r="J61" s="43">
        <f t="shared" si="31"/>
        <v>12</v>
      </c>
      <c r="K61" s="43">
        <f t="shared" si="31"/>
        <v>12</v>
      </c>
      <c r="L61" s="43">
        <f t="shared" si="31"/>
        <v>10</v>
      </c>
      <c r="M61" s="43">
        <f t="shared" si="31"/>
        <v>10</v>
      </c>
      <c r="N61" s="43">
        <f t="shared" si="31"/>
        <v>5</v>
      </c>
    </row>
    <row r="62" spans="1:31" x14ac:dyDescent="0.2">
      <c r="A62" s="42" t="str">
        <f t="shared" si="28"/>
        <v>&gt; L1 Pilots</v>
      </c>
      <c r="B62" s="197">
        <f t="shared" ref="B62:N62" si="32">ROUNDUP(IF(B$13="Deploy",MAX((B$89/100)*$B102,$B102),(B$89/100)*$B102),0)</f>
        <v>17</v>
      </c>
      <c r="C62" s="43">
        <f t="shared" si="32"/>
        <v>17</v>
      </c>
      <c r="D62" s="43">
        <f t="shared" si="32"/>
        <v>16</v>
      </c>
      <c r="E62" s="43">
        <f t="shared" si="32"/>
        <v>16</v>
      </c>
      <c r="F62" s="43">
        <f t="shared" si="32"/>
        <v>14</v>
      </c>
      <c r="G62" s="43">
        <f t="shared" si="32"/>
        <v>17</v>
      </c>
      <c r="H62" s="43">
        <f t="shared" si="32"/>
        <v>17</v>
      </c>
      <c r="I62" s="43">
        <f t="shared" si="32"/>
        <v>17</v>
      </c>
      <c r="J62" s="43">
        <f t="shared" si="32"/>
        <v>16</v>
      </c>
      <c r="K62" s="43">
        <f t="shared" si="32"/>
        <v>16</v>
      </c>
      <c r="L62" s="43">
        <f t="shared" si="32"/>
        <v>14</v>
      </c>
      <c r="M62" s="43">
        <f t="shared" si="32"/>
        <v>14</v>
      </c>
      <c r="N62" s="43">
        <f t="shared" si="32"/>
        <v>7</v>
      </c>
    </row>
    <row r="63" spans="1:31" x14ac:dyDescent="0.2">
      <c r="A63" s="42" t="str">
        <f t="shared" si="28"/>
        <v>&gt; L4 WSO</v>
      </c>
      <c r="B63" s="197">
        <f t="shared" ref="B63:N63" si="33">ROUNDUP(IF(B$13="Deploy",MAX((B$89/100)*$B103,$B103),(B$89/100)*$B103),0)</f>
        <v>5</v>
      </c>
      <c r="C63" s="43">
        <f t="shared" si="33"/>
        <v>5</v>
      </c>
      <c r="D63" s="43">
        <f t="shared" si="33"/>
        <v>5</v>
      </c>
      <c r="E63" s="43">
        <f t="shared" si="33"/>
        <v>5</v>
      </c>
      <c r="F63" s="43">
        <f t="shared" si="33"/>
        <v>5</v>
      </c>
      <c r="G63" s="43">
        <f t="shared" si="33"/>
        <v>5</v>
      </c>
      <c r="H63" s="43">
        <f t="shared" si="33"/>
        <v>5</v>
      </c>
      <c r="I63" s="43">
        <f t="shared" si="33"/>
        <v>5</v>
      </c>
      <c r="J63" s="43">
        <f t="shared" si="33"/>
        <v>5</v>
      </c>
      <c r="K63" s="43">
        <f t="shared" si="33"/>
        <v>5</v>
      </c>
      <c r="L63" s="43">
        <f t="shared" si="33"/>
        <v>5</v>
      </c>
      <c r="M63" s="43">
        <f t="shared" si="33"/>
        <v>4</v>
      </c>
      <c r="N63" s="43">
        <f t="shared" si="33"/>
        <v>2</v>
      </c>
    </row>
    <row r="64" spans="1:31" x14ac:dyDescent="0.2">
      <c r="A64" s="42" t="str">
        <f t="shared" si="28"/>
        <v>&gt; L3 WSO</v>
      </c>
      <c r="B64" s="197">
        <f t="shared" ref="B64:N64" si="34">ROUNDUP(IF(B$13="Deploy",MAX((B$89/100)*$B104,$B104),(B$89/100)*$B104),0)</f>
        <v>7</v>
      </c>
      <c r="C64" s="43">
        <f t="shared" si="34"/>
        <v>7</v>
      </c>
      <c r="D64" s="43">
        <f t="shared" si="34"/>
        <v>7</v>
      </c>
      <c r="E64" s="43">
        <f t="shared" si="34"/>
        <v>7</v>
      </c>
      <c r="F64" s="43">
        <f t="shared" si="34"/>
        <v>6</v>
      </c>
      <c r="G64" s="43">
        <f t="shared" si="34"/>
        <v>7</v>
      </c>
      <c r="H64" s="43">
        <f t="shared" si="34"/>
        <v>7</v>
      </c>
      <c r="I64" s="43">
        <f t="shared" si="34"/>
        <v>7</v>
      </c>
      <c r="J64" s="43">
        <f t="shared" si="34"/>
        <v>7</v>
      </c>
      <c r="K64" s="43">
        <f t="shared" si="34"/>
        <v>7</v>
      </c>
      <c r="L64" s="43">
        <f t="shared" si="34"/>
        <v>6</v>
      </c>
      <c r="M64" s="43">
        <f t="shared" si="34"/>
        <v>6</v>
      </c>
      <c r="N64" s="43">
        <f t="shared" si="34"/>
        <v>3</v>
      </c>
    </row>
    <row r="65" spans="1:14" x14ac:dyDescent="0.2">
      <c r="A65" s="42" t="str">
        <f t="shared" si="28"/>
        <v>&gt; L2 WSO</v>
      </c>
      <c r="B65" s="197">
        <f t="shared" ref="B65:N65" si="35">ROUNDUP(IF(B$13="Deploy",MAX((B$89/100)*$B105,$B105),(B$89/100)*$B105),0)</f>
        <v>12</v>
      </c>
      <c r="C65" s="43">
        <f t="shared" si="35"/>
        <v>12</v>
      </c>
      <c r="D65" s="43">
        <f t="shared" si="35"/>
        <v>12</v>
      </c>
      <c r="E65" s="43">
        <f t="shared" si="35"/>
        <v>12</v>
      </c>
      <c r="F65" s="43">
        <f t="shared" si="35"/>
        <v>10</v>
      </c>
      <c r="G65" s="43">
        <f t="shared" si="35"/>
        <v>12</v>
      </c>
      <c r="H65" s="43">
        <f t="shared" si="35"/>
        <v>12</v>
      </c>
      <c r="I65" s="43">
        <f t="shared" si="35"/>
        <v>12</v>
      </c>
      <c r="J65" s="43">
        <f t="shared" si="35"/>
        <v>12</v>
      </c>
      <c r="K65" s="43">
        <f t="shared" si="35"/>
        <v>12</v>
      </c>
      <c r="L65" s="43">
        <f t="shared" si="35"/>
        <v>10</v>
      </c>
      <c r="M65" s="43">
        <f t="shared" si="35"/>
        <v>10</v>
      </c>
      <c r="N65" s="43">
        <f t="shared" si="35"/>
        <v>5</v>
      </c>
    </row>
    <row r="66" spans="1:14" x14ac:dyDescent="0.2">
      <c r="A66" s="42" t="str">
        <f t="shared" si="28"/>
        <v>&gt; L1 WSO</v>
      </c>
      <c r="B66" s="197">
        <f t="shared" ref="B66:N66" si="36">ROUNDUP(IF(B$13="Deploy",MAX((B$89/100)*$B106,$B106),(B$89/100)*$B106),0)</f>
        <v>17</v>
      </c>
      <c r="C66" s="43">
        <f t="shared" si="36"/>
        <v>17</v>
      </c>
      <c r="D66" s="43">
        <f t="shared" si="36"/>
        <v>16</v>
      </c>
      <c r="E66" s="43">
        <f t="shared" si="36"/>
        <v>16</v>
      </c>
      <c r="F66" s="43">
        <f t="shared" si="36"/>
        <v>14</v>
      </c>
      <c r="G66" s="43">
        <f t="shared" si="36"/>
        <v>17</v>
      </c>
      <c r="H66" s="43">
        <f t="shared" si="36"/>
        <v>17</v>
      </c>
      <c r="I66" s="43">
        <f t="shared" si="36"/>
        <v>17</v>
      </c>
      <c r="J66" s="43">
        <f t="shared" si="36"/>
        <v>16</v>
      </c>
      <c r="K66" s="43">
        <f t="shared" si="36"/>
        <v>16</v>
      </c>
      <c r="L66" s="43">
        <f t="shared" si="36"/>
        <v>14</v>
      </c>
      <c r="M66" s="43">
        <f t="shared" si="36"/>
        <v>14</v>
      </c>
      <c r="N66" s="43">
        <f t="shared" si="36"/>
        <v>7</v>
      </c>
    </row>
    <row r="67" spans="1:14" x14ac:dyDescent="0.2">
      <c r="A67" s="42" t="str">
        <f t="shared" si="28"/>
        <v>NVG Qual - Pilot</v>
      </c>
      <c r="B67" s="197">
        <f t="shared" ref="B67:M67" si="37">ROUNDUP(IF(B$13="Deploy",MAX((B$89/100)*$B107,$B107),(B$89/100)*$B107),0)</f>
        <v>12</v>
      </c>
      <c r="C67" s="43">
        <f t="shared" si="37"/>
        <v>12</v>
      </c>
      <c r="D67" s="43">
        <f t="shared" si="37"/>
        <v>12</v>
      </c>
      <c r="E67" s="43">
        <f t="shared" si="37"/>
        <v>12</v>
      </c>
      <c r="F67" s="43">
        <f t="shared" si="37"/>
        <v>10</v>
      </c>
      <c r="G67" s="43">
        <f t="shared" si="37"/>
        <v>12</v>
      </c>
      <c r="H67" s="43">
        <f t="shared" si="37"/>
        <v>12</v>
      </c>
      <c r="I67" s="43">
        <f t="shared" si="37"/>
        <v>12</v>
      </c>
      <c r="J67" s="43">
        <f t="shared" si="37"/>
        <v>12</v>
      </c>
      <c r="K67" s="43">
        <f t="shared" si="37"/>
        <v>12</v>
      </c>
      <c r="L67" s="43">
        <f t="shared" si="37"/>
        <v>10</v>
      </c>
      <c r="M67" s="43">
        <f t="shared" si="37"/>
        <v>10</v>
      </c>
      <c r="N67" s="43">
        <v>0</v>
      </c>
    </row>
    <row r="68" spans="1:14" x14ac:dyDescent="0.2">
      <c r="A68" s="42" t="str">
        <f t="shared" si="28"/>
        <v>NVG Qual - WSO</v>
      </c>
      <c r="B68" s="197">
        <f t="shared" ref="B68:M68" si="38">ROUNDUP(IF(B$13="Deploy",MAX((B$89/100)*$B108,$B108),(B$89/100)*$B108),0)</f>
        <v>12</v>
      </c>
      <c r="C68" s="43">
        <f t="shared" si="38"/>
        <v>12</v>
      </c>
      <c r="D68" s="43">
        <f t="shared" si="38"/>
        <v>12</v>
      </c>
      <c r="E68" s="43">
        <f t="shared" si="38"/>
        <v>12</v>
      </c>
      <c r="F68" s="43">
        <f t="shared" si="38"/>
        <v>10</v>
      </c>
      <c r="G68" s="43">
        <f t="shared" si="38"/>
        <v>12</v>
      </c>
      <c r="H68" s="43">
        <f t="shared" si="38"/>
        <v>12</v>
      </c>
      <c r="I68" s="43">
        <f t="shared" si="38"/>
        <v>12</v>
      </c>
      <c r="J68" s="43">
        <f t="shared" si="38"/>
        <v>12</v>
      </c>
      <c r="K68" s="43">
        <f t="shared" si="38"/>
        <v>12</v>
      </c>
      <c r="L68" s="43">
        <f t="shared" si="38"/>
        <v>10</v>
      </c>
      <c r="M68" s="43">
        <f t="shared" si="38"/>
        <v>10</v>
      </c>
      <c r="N68" s="43">
        <f>ROUNDUP(IF(N$13="Deploy",MAX((N$89/100)*$B108,$B108),(N$89/100)*$B108),0)</f>
        <v>5</v>
      </c>
    </row>
    <row r="69" spans="1:14" x14ac:dyDescent="0.2">
      <c r="A69" s="42" t="str">
        <f t="shared" si="28"/>
        <v>JHMCS Qual - Pilot</v>
      </c>
      <c r="B69" s="197">
        <f t="shared" ref="B69:M69" si="39">ROUNDUP(IF(B$13="Deploy",MAX((B$89/100)*$B109,$B109),(B$89/100)*$B109),0)</f>
        <v>12</v>
      </c>
      <c r="C69" s="43">
        <f t="shared" si="39"/>
        <v>12</v>
      </c>
      <c r="D69" s="43">
        <f t="shared" si="39"/>
        <v>12</v>
      </c>
      <c r="E69" s="43">
        <f t="shared" si="39"/>
        <v>12</v>
      </c>
      <c r="F69" s="43">
        <f t="shared" si="39"/>
        <v>10</v>
      </c>
      <c r="G69" s="43">
        <f t="shared" si="39"/>
        <v>12</v>
      </c>
      <c r="H69" s="43">
        <f t="shared" si="39"/>
        <v>12</v>
      </c>
      <c r="I69" s="43">
        <f t="shared" si="39"/>
        <v>12</v>
      </c>
      <c r="J69" s="43">
        <f t="shared" si="39"/>
        <v>12</v>
      </c>
      <c r="K69" s="43">
        <f t="shared" si="39"/>
        <v>12</v>
      </c>
      <c r="L69" s="43">
        <f t="shared" si="39"/>
        <v>10</v>
      </c>
      <c r="M69" s="43">
        <f t="shared" si="39"/>
        <v>10</v>
      </c>
      <c r="N69" s="43">
        <f>ROUNDUP(IF(N$13="Deploy",MAX((N$89/100)*$B109,$B109),(N$89/100)*$B109),0)</f>
        <v>5</v>
      </c>
    </row>
    <row r="70" spans="1:14" x14ac:dyDescent="0.2">
      <c r="A70" s="42" t="str">
        <f t="shared" si="28"/>
        <v>JMPS SME</v>
      </c>
      <c r="B70" s="197">
        <f t="shared" ref="B70:M70" si="40">ROUNDUP(IF(B$13="Deploy",MAX((B$89/100)*$B110,$B110),(B$89/100)*$B110),0)</f>
        <v>3</v>
      </c>
      <c r="C70" s="43">
        <f t="shared" si="40"/>
        <v>3</v>
      </c>
      <c r="D70" s="43">
        <f t="shared" si="40"/>
        <v>3</v>
      </c>
      <c r="E70" s="43">
        <f t="shared" si="40"/>
        <v>3</v>
      </c>
      <c r="F70" s="43">
        <f t="shared" si="40"/>
        <v>3</v>
      </c>
      <c r="G70" s="43">
        <f t="shared" si="40"/>
        <v>3</v>
      </c>
      <c r="H70" s="43">
        <f t="shared" si="40"/>
        <v>3</v>
      </c>
      <c r="I70" s="43">
        <f t="shared" si="40"/>
        <v>3</v>
      </c>
      <c r="J70" s="43">
        <f t="shared" si="40"/>
        <v>3</v>
      </c>
      <c r="K70" s="43">
        <f t="shared" si="40"/>
        <v>3</v>
      </c>
      <c r="L70" s="43">
        <f t="shared" si="40"/>
        <v>3</v>
      </c>
      <c r="M70" s="43">
        <f t="shared" si="40"/>
        <v>3</v>
      </c>
      <c r="N70" s="43">
        <v>0</v>
      </c>
    </row>
    <row r="71" spans="1:14" x14ac:dyDescent="0.2">
      <c r="A71" s="42" t="str">
        <f t="shared" si="28"/>
        <v xml:space="preserve">CVW STK LEAD </v>
      </c>
      <c r="B71" s="197">
        <f t="shared" ref="B71:M71" si="41">ROUNDUP(IF(B$13="Deploy",MAX((B$89/100)*$B111,$B111),(B$89/100)*$B111),0)</f>
        <v>3</v>
      </c>
      <c r="C71" s="197">
        <f t="shared" si="41"/>
        <v>3</v>
      </c>
      <c r="D71" s="197">
        <f t="shared" si="41"/>
        <v>3</v>
      </c>
      <c r="E71" s="197">
        <f t="shared" si="41"/>
        <v>3</v>
      </c>
      <c r="F71" s="197">
        <f t="shared" si="41"/>
        <v>3</v>
      </c>
      <c r="G71" s="197">
        <f t="shared" si="41"/>
        <v>3</v>
      </c>
      <c r="H71" s="197">
        <f t="shared" si="41"/>
        <v>3</v>
      </c>
      <c r="I71" s="197">
        <f t="shared" si="41"/>
        <v>3</v>
      </c>
      <c r="J71" s="197">
        <f t="shared" si="41"/>
        <v>3</v>
      </c>
      <c r="K71" s="197">
        <f t="shared" si="41"/>
        <v>3</v>
      </c>
      <c r="L71" s="197">
        <f t="shared" si="41"/>
        <v>3</v>
      </c>
      <c r="M71" s="197">
        <f t="shared" si="41"/>
        <v>3</v>
      </c>
      <c r="N71" s="197">
        <f>ROUNDUP(IF(N$13="Deploy",MAX((N$89/100)*$B111,$B111),(N$89/100)*$B111),0)</f>
        <v>2</v>
      </c>
    </row>
    <row r="72" spans="1:14" x14ac:dyDescent="0.2">
      <c r="A72" s="42" t="str">
        <f t="shared" si="28"/>
        <v>FAC(A) - Pilot</v>
      </c>
      <c r="B72" s="197">
        <f t="shared" ref="B72:M72" si="42">ROUNDUP(IF(B$13="Deploy",MAX((B$89/100)*$B112,$B112),(B$89/100)*$B112),0)</f>
        <v>4</v>
      </c>
      <c r="C72" s="197">
        <f t="shared" si="42"/>
        <v>4</v>
      </c>
      <c r="D72" s="197">
        <f t="shared" si="42"/>
        <v>4</v>
      </c>
      <c r="E72" s="197">
        <f t="shared" si="42"/>
        <v>4</v>
      </c>
      <c r="F72" s="197">
        <f t="shared" si="42"/>
        <v>4</v>
      </c>
      <c r="G72" s="197">
        <f t="shared" si="42"/>
        <v>4</v>
      </c>
      <c r="H72" s="197">
        <f t="shared" si="42"/>
        <v>4</v>
      </c>
      <c r="I72" s="197">
        <f t="shared" si="42"/>
        <v>4</v>
      </c>
      <c r="J72" s="197">
        <f t="shared" si="42"/>
        <v>4</v>
      </c>
      <c r="K72" s="197">
        <f t="shared" si="42"/>
        <v>4</v>
      </c>
      <c r="L72" s="197">
        <f t="shared" si="42"/>
        <v>4</v>
      </c>
      <c r="M72" s="197">
        <f t="shared" si="42"/>
        <v>4</v>
      </c>
      <c r="N72" s="197">
        <f>ROUNDUP(IF(N$13="Deploy",MAX((N$89/100)*$B112,$B112),(N$89/100)*$B112),0)</f>
        <v>2</v>
      </c>
    </row>
    <row r="73" spans="1:14" x14ac:dyDescent="0.2">
      <c r="A73" s="42" t="str">
        <f t="shared" si="28"/>
        <v>FAC(A) - WSO</v>
      </c>
      <c r="B73" s="43">
        <f t="shared" ref="B73:M73" si="43">ROUNDUP(IF(B$13="Deploy",MAX((B$89/100)*$B113,$B113),(B$89/100)*$B113),0)</f>
        <v>4</v>
      </c>
      <c r="C73" s="43">
        <f t="shared" si="43"/>
        <v>4</v>
      </c>
      <c r="D73" s="43">
        <f t="shared" si="43"/>
        <v>4</v>
      </c>
      <c r="E73" s="43">
        <f t="shared" si="43"/>
        <v>4</v>
      </c>
      <c r="F73" s="43">
        <f t="shared" si="43"/>
        <v>4</v>
      </c>
      <c r="G73" s="43">
        <f t="shared" si="43"/>
        <v>4</v>
      </c>
      <c r="H73" s="43">
        <f t="shared" si="43"/>
        <v>4</v>
      </c>
      <c r="I73" s="43">
        <f t="shared" si="43"/>
        <v>4</v>
      </c>
      <c r="J73" s="43">
        <f t="shared" si="43"/>
        <v>4</v>
      </c>
      <c r="K73" s="43">
        <f t="shared" si="43"/>
        <v>4</v>
      </c>
      <c r="L73" s="43">
        <f t="shared" si="43"/>
        <v>4</v>
      </c>
      <c r="M73" s="43">
        <f t="shared" si="43"/>
        <v>4</v>
      </c>
      <c r="N73" s="43">
        <f>ROUNDUP(IF(N$13="Deploy",MAX((N$89/100)*$B113,$B113),(N$89/100)*$B113),0)</f>
        <v>2</v>
      </c>
    </row>
    <row r="74" spans="1:14" x14ac:dyDescent="0.2">
      <c r="A74" s="42" t="str">
        <f t="shared" si="28"/>
        <v>Required Skilled Crews</v>
      </c>
      <c r="B74" s="43">
        <f t="shared" ref="B74:M74" si="44">ROUNDUP(IF(B$13="Deploy",MAX((B$89/100)*$B114,$B114),(B$89/100)*$B114),0)</f>
        <v>13</v>
      </c>
      <c r="C74" s="43">
        <f t="shared" si="44"/>
        <v>13</v>
      </c>
      <c r="D74" s="43">
        <f t="shared" si="44"/>
        <v>12</v>
      </c>
      <c r="E74" s="43">
        <f t="shared" si="44"/>
        <v>12</v>
      </c>
      <c r="F74" s="43">
        <f t="shared" si="44"/>
        <v>11</v>
      </c>
      <c r="G74" s="43">
        <f t="shared" si="44"/>
        <v>13</v>
      </c>
      <c r="H74" s="43">
        <f t="shared" si="44"/>
        <v>13</v>
      </c>
      <c r="I74" s="43">
        <f t="shared" si="44"/>
        <v>13</v>
      </c>
      <c r="J74" s="43">
        <f t="shared" si="44"/>
        <v>13</v>
      </c>
      <c r="K74" s="43">
        <f t="shared" si="44"/>
        <v>12</v>
      </c>
      <c r="L74" s="43">
        <f t="shared" si="44"/>
        <v>11</v>
      </c>
      <c r="M74" s="43">
        <f t="shared" si="44"/>
        <v>11</v>
      </c>
      <c r="N74" s="43">
        <f>ROUNDUP(IF(N$13="Deploy",MAX((N$89/100)*$B114,$B114),(N$89/100)*$B114),0)</f>
        <v>5</v>
      </c>
    </row>
    <row r="75" spans="1:14" ht="12.75" x14ac:dyDescent="0.2">
      <c r="A75" s="226" t="s">
        <v>143</v>
      </c>
      <c r="B75" s="280"/>
      <c r="C75" s="281"/>
      <c r="D75" s="281"/>
      <c r="E75" s="281"/>
      <c r="F75" s="281"/>
      <c r="G75" s="282"/>
      <c r="H75" s="282"/>
      <c r="I75" s="282"/>
      <c r="J75" s="282"/>
      <c r="K75" s="282"/>
      <c r="L75" s="282"/>
      <c r="M75" s="282"/>
      <c r="N75" s="285"/>
    </row>
    <row r="76" spans="1:14"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row>
    <row r="77" spans="1:14"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row>
    <row r="78" spans="1:14"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row>
    <row r="79" spans="1:14" x14ac:dyDescent="0.2">
      <c r="N79" s="130"/>
    </row>
    <row r="80" spans="1:14" x14ac:dyDescent="0.2">
      <c r="B80" s="30"/>
      <c r="C80" s="30"/>
      <c r="N80" s="21"/>
    </row>
    <row r="81" spans="1:14" x14ac:dyDescent="0.2">
      <c r="B81" s="30"/>
      <c r="C81" s="30"/>
      <c r="N81" s="21"/>
    </row>
    <row r="82" spans="1:14" ht="12.75" thickBot="1" x14ac:dyDescent="0.25">
      <c r="A82" s="14"/>
    </row>
    <row r="83" spans="1:14" ht="12.75" thickBot="1" x14ac:dyDescent="0.25">
      <c r="A83" s="455" t="s">
        <v>147</v>
      </c>
      <c r="B83" s="456"/>
      <c r="C83" s="456"/>
      <c r="D83" s="456"/>
      <c r="E83" s="456"/>
      <c r="F83" s="456"/>
      <c r="G83" s="456"/>
      <c r="H83" s="456"/>
      <c r="I83" s="456"/>
      <c r="J83" s="456"/>
      <c r="K83" s="456"/>
      <c r="L83" s="456"/>
      <c r="M83" s="456"/>
      <c r="N83" s="457"/>
    </row>
    <row r="84" spans="1:14" x14ac:dyDescent="0.2">
      <c r="A84" s="121" t="s">
        <v>148</v>
      </c>
      <c r="B84" s="122">
        <f t="shared" ref="B84:M84" si="45">MIN(100,B86+$B$90)</f>
        <v>100</v>
      </c>
      <c r="C84" s="122">
        <f t="shared" si="45"/>
        <v>100</v>
      </c>
      <c r="D84" s="122">
        <f t="shared" si="45"/>
        <v>99.65352133915421</v>
      </c>
      <c r="E84" s="122">
        <f t="shared" si="45"/>
        <v>99.65352133915421</v>
      </c>
      <c r="F84" s="122">
        <f t="shared" si="45"/>
        <v>88.65352133915421</v>
      </c>
      <c r="G84" s="122">
        <f t="shared" si="45"/>
        <v>100</v>
      </c>
      <c r="H84" s="122">
        <f t="shared" si="45"/>
        <v>100</v>
      </c>
      <c r="I84" s="122">
        <f t="shared" si="45"/>
        <v>100</v>
      </c>
      <c r="J84" s="122">
        <f t="shared" si="45"/>
        <v>100</v>
      </c>
      <c r="K84" s="122">
        <f t="shared" si="45"/>
        <v>99.65352133915421</v>
      </c>
      <c r="L84" s="122">
        <f t="shared" si="45"/>
        <v>88.65352133915421</v>
      </c>
      <c r="M84" s="138">
        <f t="shared" si="45"/>
        <v>87.65352133915421</v>
      </c>
      <c r="N84" s="141">
        <v>60.803436023597357</v>
      </c>
    </row>
    <row r="85" spans="1:14" x14ac:dyDescent="0.2">
      <c r="A85" s="44" t="s">
        <v>149</v>
      </c>
      <c r="B85" s="45">
        <f t="shared" ref="B85:M85" si="46">MIN(100,B86+$B$91)</f>
        <v>100</v>
      </c>
      <c r="C85" s="45">
        <f t="shared" si="46"/>
        <v>100</v>
      </c>
      <c r="D85" s="45">
        <f t="shared" si="46"/>
        <v>95.826760669577112</v>
      </c>
      <c r="E85" s="45">
        <f t="shared" si="46"/>
        <v>95.826760669577112</v>
      </c>
      <c r="F85" s="45">
        <f t="shared" si="46"/>
        <v>84.826760669577112</v>
      </c>
      <c r="G85" s="45">
        <f t="shared" si="46"/>
        <v>100</v>
      </c>
      <c r="H85" s="45">
        <f t="shared" si="46"/>
        <v>100</v>
      </c>
      <c r="I85" s="45">
        <f t="shared" si="46"/>
        <v>100</v>
      </c>
      <c r="J85" s="45">
        <f t="shared" si="46"/>
        <v>96.826760669577112</v>
      </c>
      <c r="K85" s="45">
        <f t="shared" si="46"/>
        <v>95.826760669577112</v>
      </c>
      <c r="L85" s="45">
        <f t="shared" si="46"/>
        <v>84.826760669577112</v>
      </c>
      <c r="M85" s="139">
        <f t="shared" si="46"/>
        <v>83.826760669577112</v>
      </c>
      <c r="N85" s="46">
        <v>48.901718011798678</v>
      </c>
    </row>
    <row r="86" spans="1:14" x14ac:dyDescent="0.2">
      <c r="A86" s="44" t="s">
        <v>150</v>
      </c>
      <c r="B86" s="103">
        <v>100</v>
      </c>
      <c r="C86" s="103">
        <v>100</v>
      </c>
      <c r="D86" s="103">
        <v>92</v>
      </c>
      <c r="E86" s="103">
        <v>92</v>
      </c>
      <c r="F86" s="103">
        <v>81</v>
      </c>
      <c r="G86" s="103">
        <v>100</v>
      </c>
      <c r="H86" s="103">
        <v>100</v>
      </c>
      <c r="I86" s="103">
        <v>100</v>
      </c>
      <c r="J86" s="103">
        <v>93</v>
      </c>
      <c r="K86" s="103">
        <v>92</v>
      </c>
      <c r="L86" s="103">
        <v>81</v>
      </c>
      <c r="M86" s="137">
        <v>80</v>
      </c>
      <c r="N86" s="104">
        <v>37</v>
      </c>
    </row>
    <row r="87" spans="1:14" x14ac:dyDescent="0.2">
      <c r="A87" s="44" t="s">
        <v>151</v>
      </c>
      <c r="B87" s="45">
        <f t="shared" ref="B87:M87" si="47">MIN(80,IF(B13="Deploy",80,MAX(0,B86-$B$91)))</f>
        <v>80</v>
      </c>
      <c r="C87" s="45">
        <f t="shared" si="47"/>
        <v>80</v>
      </c>
      <c r="D87" s="45">
        <f t="shared" si="47"/>
        <v>80</v>
      </c>
      <c r="E87" s="45">
        <f t="shared" si="47"/>
        <v>80</v>
      </c>
      <c r="F87" s="45">
        <f t="shared" si="47"/>
        <v>77.173239330422888</v>
      </c>
      <c r="G87" s="45">
        <f t="shared" si="47"/>
        <v>80</v>
      </c>
      <c r="H87" s="45">
        <f t="shared" si="47"/>
        <v>80</v>
      </c>
      <c r="I87" s="45">
        <f t="shared" si="47"/>
        <v>80</v>
      </c>
      <c r="J87" s="45">
        <f t="shared" si="47"/>
        <v>80</v>
      </c>
      <c r="K87" s="45">
        <f t="shared" si="47"/>
        <v>80</v>
      </c>
      <c r="L87" s="45">
        <f t="shared" si="47"/>
        <v>77.173239330422888</v>
      </c>
      <c r="M87" s="139">
        <f t="shared" si="47"/>
        <v>76.173239330422888</v>
      </c>
      <c r="N87" s="46">
        <v>25.098281988201322</v>
      </c>
    </row>
    <row r="88" spans="1:14" ht="12.75" thickBot="1" x14ac:dyDescent="0.25">
      <c r="A88" s="47" t="s">
        <v>152</v>
      </c>
      <c r="B88" s="48">
        <f t="shared" ref="B88:M88" si="48">MIN(60,IF(B14="Deploy",60,MAX(0,B86-$B$90)))</f>
        <v>60</v>
      </c>
      <c r="C88" s="48">
        <f t="shared" si="48"/>
        <v>60</v>
      </c>
      <c r="D88" s="48">
        <f t="shared" si="48"/>
        <v>60</v>
      </c>
      <c r="E88" s="48">
        <f t="shared" si="48"/>
        <v>60</v>
      </c>
      <c r="F88" s="48">
        <f t="shared" si="48"/>
        <v>60</v>
      </c>
      <c r="G88" s="48">
        <f t="shared" si="48"/>
        <v>60</v>
      </c>
      <c r="H88" s="48">
        <f t="shared" si="48"/>
        <v>60</v>
      </c>
      <c r="I88" s="48">
        <f t="shared" si="48"/>
        <v>60</v>
      </c>
      <c r="J88" s="48">
        <f t="shared" si="48"/>
        <v>60</v>
      </c>
      <c r="K88" s="48">
        <f t="shared" si="48"/>
        <v>60</v>
      </c>
      <c r="L88" s="48">
        <f t="shared" si="48"/>
        <v>60</v>
      </c>
      <c r="M88" s="140">
        <f t="shared" si="48"/>
        <v>60</v>
      </c>
      <c r="N88" s="49">
        <v>13.196563976402647</v>
      </c>
    </row>
    <row r="89" spans="1:14" ht="12.75" thickBot="1" x14ac:dyDescent="0.25">
      <c r="A89" s="152" t="s">
        <v>153</v>
      </c>
      <c r="B89" s="153">
        <v>100</v>
      </c>
      <c r="C89" s="153">
        <v>100</v>
      </c>
      <c r="D89" s="153">
        <v>92</v>
      </c>
      <c r="E89" s="153">
        <v>92</v>
      </c>
      <c r="F89" s="153">
        <v>81</v>
      </c>
      <c r="G89" s="153">
        <v>100</v>
      </c>
      <c r="H89" s="153">
        <v>100</v>
      </c>
      <c r="I89" s="153">
        <v>100</v>
      </c>
      <c r="J89" s="153">
        <v>93</v>
      </c>
      <c r="K89" s="153">
        <v>92</v>
      </c>
      <c r="L89" s="153">
        <v>81</v>
      </c>
      <c r="M89" s="154">
        <v>80</v>
      </c>
      <c r="N89" s="155">
        <v>37</v>
      </c>
    </row>
    <row r="90" spans="1:14" x14ac:dyDescent="0.2">
      <c r="A90" s="129" t="s">
        <v>154</v>
      </c>
      <c r="B90" s="106">
        <f t="array" ref="B90">SQRT(SUM(POWER(AVERAGE(B86:M86)-(B86:M86),2))/COUNT(B86:M86))*1</f>
        <v>7.6535213391542127</v>
      </c>
    </row>
    <row r="91" spans="1:14" ht="12.75" thickBot="1" x14ac:dyDescent="0.25">
      <c r="A91" s="119" t="s">
        <v>155</v>
      </c>
      <c r="B91" s="108">
        <f>B90/2</f>
        <v>3.8267606695771064</v>
      </c>
      <c r="N91" s="22"/>
    </row>
    <row r="92" spans="1:14" ht="12.75" thickBot="1" x14ac:dyDescent="0.25">
      <c r="A92" s="30"/>
      <c r="B92" s="30"/>
      <c r="C92" s="30"/>
      <c r="D92" s="30"/>
      <c r="E92" s="30"/>
      <c r="F92" s="30"/>
      <c r="G92" s="30"/>
      <c r="H92" s="30"/>
      <c r="I92" s="30"/>
      <c r="J92" s="30"/>
      <c r="K92" s="30"/>
      <c r="L92" s="30"/>
      <c r="M92" s="30"/>
    </row>
    <row r="93" spans="1:14" ht="12.75" thickBot="1" x14ac:dyDescent="0.25">
      <c r="A93" s="458" t="s">
        <v>156</v>
      </c>
      <c r="B93" s="459"/>
    </row>
    <row r="94" spans="1:14" ht="12.75" thickBot="1" x14ac:dyDescent="0.25">
      <c r="A94" s="439" t="s">
        <v>157</v>
      </c>
      <c r="B94" s="440"/>
    </row>
    <row r="95" spans="1:14" ht="12.75" thickTop="1" x14ac:dyDescent="0.2">
      <c r="A95" s="75" t="s">
        <v>139</v>
      </c>
      <c r="B95" s="77">
        <v>17</v>
      </c>
    </row>
    <row r="96" spans="1:14" x14ac:dyDescent="0.2">
      <c r="A96" s="50" t="s">
        <v>140</v>
      </c>
      <c r="B96" s="51">
        <v>17</v>
      </c>
    </row>
    <row r="97" spans="1:14" x14ac:dyDescent="0.2">
      <c r="A97" s="75" t="s">
        <v>141</v>
      </c>
      <c r="B97" s="77">
        <v>17</v>
      </c>
    </row>
    <row r="98" spans="1:14" x14ac:dyDescent="0.2">
      <c r="A98" s="50" t="s">
        <v>142</v>
      </c>
      <c r="B98" s="51">
        <v>17</v>
      </c>
    </row>
    <row r="99" spans="1:14" x14ac:dyDescent="0.2">
      <c r="A99" s="50" t="s">
        <v>158</v>
      </c>
      <c r="B99" s="52">
        <v>5</v>
      </c>
    </row>
    <row r="100" spans="1:14" x14ac:dyDescent="0.2">
      <c r="A100" s="50" t="s">
        <v>159</v>
      </c>
      <c r="B100" s="52">
        <v>7</v>
      </c>
    </row>
    <row r="101" spans="1:14" x14ac:dyDescent="0.2">
      <c r="A101" s="50" t="s">
        <v>160</v>
      </c>
      <c r="B101" s="52">
        <v>12</v>
      </c>
    </row>
    <row r="102" spans="1:14" x14ac:dyDescent="0.2">
      <c r="A102" s="50" t="s">
        <v>161</v>
      </c>
      <c r="B102" s="51">
        <v>17</v>
      </c>
    </row>
    <row r="103" spans="1:14" x14ac:dyDescent="0.2">
      <c r="A103" s="50" t="s">
        <v>162</v>
      </c>
      <c r="B103" s="52">
        <v>5</v>
      </c>
    </row>
    <row r="104" spans="1:14" x14ac:dyDescent="0.2">
      <c r="A104" s="50" t="s">
        <v>163</v>
      </c>
      <c r="B104" s="55">
        <v>7</v>
      </c>
    </row>
    <row r="105" spans="1:14" x14ac:dyDescent="0.2">
      <c r="A105" s="50" t="s">
        <v>164</v>
      </c>
      <c r="B105" s="55">
        <v>12</v>
      </c>
    </row>
    <row r="106" spans="1:14" x14ac:dyDescent="0.2">
      <c r="A106" s="50" t="s">
        <v>165</v>
      </c>
      <c r="B106" s="55">
        <v>17</v>
      </c>
    </row>
    <row r="107" spans="1:14" x14ac:dyDescent="0.2">
      <c r="A107" s="50" t="s">
        <v>166</v>
      </c>
      <c r="B107" s="55">
        <v>12</v>
      </c>
      <c r="N107" s="21"/>
    </row>
    <row r="108" spans="1:14" x14ac:dyDescent="0.2">
      <c r="A108" s="50" t="s">
        <v>167</v>
      </c>
      <c r="B108" s="55">
        <v>12</v>
      </c>
      <c r="N108" s="21"/>
    </row>
    <row r="109" spans="1:14" x14ac:dyDescent="0.2">
      <c r="A109" s="50" t="s">
        <v>168</v>
      </c>
      <c r="B109" s="55">
        <v>12</v>
      </c>
      <c r="N109" s="21"/>
    </row>
    <row r="110" spans="1:14" x14ac:dyDescent="0.2">
      <c r="A110" s="50" t="s">
        <v>169</v>
      </c>
      <c r="B110" s="55">
        <v>3</v>
      </c>
    </row>
    <row r="111" spans="1:14" x14ac:dyDescent="0.2">
      <c r="A111" s="50" t="s">
        <v>170</v>
      </c>
      <c r="B111" s="55">
        <v>3</v>
      </c>
    </row>
    <row r="112" spans="1:14" x14ac:dyDescent="0.2">
      <c r="A112" s="50" t="s">
        <v>171</v>
      </c>
      <c r="B112" s="76">
        <v>4</v>
      </c>
    </row>
    <row r="113" spans="1:14" x14ac:dyDescent="0.2">
      <c r="A113" s="50" t="s">
        <v>172</v>
      </c>
      <c r="B113" s="76">
        <v>4</v>
      </c>
    </row>
    <row r="114" spans="1:14" ht="12.75" thickBot="1" x14ac:dyDescent="0.25">
      <c r="A114" s="53" t="s">
        <v>173</v>
      </c>
      <c r="B114" s="54">
        <v>13</v>
      </c>
    </row>
    <row r="115" spans="1:14" ht="12.75" thickBot="1" x14ac:dyDescent="0.25"/>
    <row r="116" spans="1:14" ht="13.5" thickBot="1" x14ac:dyDescent="0.25">
      <c r="A116" s="431" t="s">
        <v>174</v>
      </c>
      <c r="B116" s="432"/>
    </row>
    <row r="117" spans="1:14" x14ac:dyDescent="0.2">
      <c r="A117" s="116" t="s">
        <v>175</v>
      </c>
      <c r="B117" s="117"/>
      <c r="C117" s="117"/>
      <c r="D117" s="117"/>
      <c r="E117" s="117"/>
      <c r="F117" s="117"/>
      <c r="G117" s="117"/>
      <c r="H117" s="117"/>
      <c r="I117" s="117"/>
      <c r="J117" s="117"/>
      <c r="K117" s="117"/>
      <c r="L117" s="117"/>
      <c r="M117" s="113"/>
      <c r="N117" s="113"/>
    </row>
    <row r="118" spans="1:14" ht="12.75" thickBot="1" x14ac:dyDescent="0.25">
      <c r="A118" s="119" t="s">
        <v>177</v>
      </c>
      <c r="B118" s="120" t="s">
        <v>176</v>
      </c>
      <c r="C118" s="120" t="s">
        <v>176</v>
      </c>
      <c r="D118" s="120"/>
      <c r="E118" s="120"/>
      <c r="F118" s="120"/>
      <c r="G118" s="120" t="s">
        <v>176</v>
      </c>
      <c r="H118" s="120" t="s">
        <v>176</v>
      </c>
      <c r="I118" s="120" t="s">
        <v>176</v>
      </c>
      <c r="J118" s="120"/>
      <c r="K118" s="120"/>
      <c r="L118" s="120"/>
      <c r="M118" s="56"/>
      <c r="N118" s="56"/>
    </row>
    <row r="119" spans="1:14" ht="12.75" thickBot="1" x14ac:dyDescent="0.25"/>
    <row r="120" spans="1:14" ht="12.75" x14ac:dyDescent="0.2">
      <c r="A120" s="207" t="s">
        <v>178</v>
      </c>
      <c r="B120" s="426" t="s">
        <v>179</v>
      </c>
      <c r="C120" s="426"/>
      <c r="D120" s="427" t="s">
        <v>180</v>
      </c>
      <c r="E120" s="427"/>
      <c r="F120" s="428" t="s">
        <v>181</v>
      </c>
      <c r="G120" s="429"/>
      <c r="I120" s="295" t="s">
        <v>182</v>
      </c>
    </row>
    <row r="121" spans="1:14" ht="12.75" x14ac:dyDescent="0.2">
      <c r="A121" s="208" t="s">
        <v>183</v>
      </c>
      <c r="B121" s="159"/>
      <c r="C121" s="159"/>
      <c r="D121" s="159"/>
      <c r="E121" s="159"/>
      <c r="F121" s="159"/>
      <c r="G121" s="171"/>
      <c r="I121" s="221" t="s">
        <v>40</v>
      </c>
    </row>
    <row r="122" spans="1:14" x14ac:dyDescent="0.2">
      <c r="A122" s="157" t="s">
        <v>184</v>
      </c>
      <c r="B122" s="160">
        <v>12</v>
      </c>
      <c r="C122" s="160">
        <v>12</v>
      </c>
      <c r="D122" s="162">
        <v>11</v>
      </c>
      <c r="E122" s="162">
        <v>9</v>
      </c>
      <c r="F122" s="164">
        <v>8</v>
      </c>
      <c r="G122" s="209">
        <v>0</v>
      </c>
    </row>
    <row r="123" spans="1:14" x14ac:dyDescent="0.2">
      <c r="A123" s="157" t="s">
        <v>185</v>
      </c>
      <c r="B123" s="160">
        <v>12</v>
      </c>
      <c r="C123" s="160">
        <v>9</v>
      </c>
      <c r="D123" s="162">
        <v>8</v>
      </c>
      <c r="E123" s="162">
        <v>7</v>
      </c>
      <c r="F123" s="164">
        <v>6</v>
      </c>
      <c r="G123" s="209">
        <v>0</v>
      </c>
    </row>
    <row r="124" spans="1:14" x14ac:dyDescent="0.2">
      <c r="A124" s="208" t="s">
        <v>122</v>
      </c>
      <c r="B124" s="210"/>
      <c r="C124" s="211"/>
      <c r="D124" s="211"/>
      <c r="E124" s="211"/>
      <c r="F124" s="211"/>
      <c r="G124" s="212"/>
    </row>
    <row r="125" spans="1:14" ht="12.75" x14ac:dyDescent="0.2">
      <c r="A125" s="240" t="s">
        <v>123</v>
      </c>
      <c r="B125" s="213">
        <v>12</v>
      </c>
      <c r="C125" s="160">
        <v>7</v>
      </c>
      <c r="D125" s="162">
        <v>6</v>
      </c>
      <c r="E125" s="162">
        <v>5</v>
      </c>
      <c r="F125" s="164">
        <v>4</v>
      </c>
      <c r="G125" s="165">
        <v>0</v>
      </c>
    </row>
    <row r="126" spans="1:14" ht="12.75" x14ac:dyDescent="0.2">
      <c r="A126" s="240" t="s">
        <v>124</v>
      </c>
      <c r="B126" s="160">
        <v>12</v>
      </c>
      <c r="C126" s="160">
        <v>1</v>
      </c>
      <c r="D126" s="162">
        <v>1</v>
      </c>
      <c r="E126" s="162">
        <v>1</v>
      </c>
      <c r="F126" s="164">
        <v>0</v>
      </c>
      <c r="G126" s="209">
        <v>0</v>
      </c>
    </row>
    <row r="127" spans="1:14" ht="12.75" x14ac:dyDescent="0.2">
      <c r="A127" s="240" t="s">
        <v>125</v>
      </c>
      <c r="B127" s="160">
        <v>12</v>
      </c>
      <c r="C127" s="160">
        <v>4</v>
      </c>
      <c r="D127" s="162">
        <v>3</v>
      </c>
      <c r="E127" s="162"/>
      <c r="F127" s="164">
        <v>2</v>
      </c>
      <c r="G127" s="209">
        <v>0</v>
      </c>
    </row>
    <row r="128" spans="1:14" ht="12.75" x14ac:dyDescent="0.2">
      <c r="A128" s="240" t="s">
        <v>126</v>
      </c>
      <c r="B128" s="160">
        <v>12</v>
      </c>
      <c r="C128" s="160">
        <v>7</v>
      </c>
      <c r="D128" s="162">
        <v>6</v>
      </c>
      <c r="E128" s="162">
        <v>5</v>
      </c>
      <c r="F128" s="164">
        <v>4</v>
      </c>
      <c r="G128" s="209">
        <v>0</v>
      </c>
    </row>
    <row r="129" spans="1:7" ht="12.75" x14ac:dyDescent="0.2">
      <c r="A129" s="240" t="s">
        <v>127</v>
      </c>
      <c r="B129" s="160">
        <v>12</v>
      </c>
      <c r="C129" s="160">
        <v>7</v>
      </c>
      <c r="D129" s="162">
        <v>6</v>
      </c>
      <c r="E129" s="162">
        <v>5</v>
      </c>
      <c r="F129" s="164">
        <v>4</v>
      </c>
      <c r="G129" s="209">
        <v>0</v>
      </c>
    </row>
    <row r="130" spans="1:7" ht="12.75" x14ac:dyDescent="0.2">
      <c r="A130" s="240" t="s">
        <v>128</v>
      </c>
      <c r="B130" s="160">
        <v>12</v>
      </c>
      <c r="C130" s="160">
        <v>7</v>
      </c>
      <c r="D130" s="162">
        <v>6</v>
      </c>
      <c r="E130" s="162">
        <v>5</v>
      </c>
      <c r="F130" s="164">
        <v>4</v>
      </c>
      <c r="G130" s="209">
        <v>0</v>
      </c>
    </row>
    <row r="131" spans="1:7" ht="12.75" x14ac:dyDescent="0.2">
      <c r="A131" s="240" t="s">
        <v>129</v>
      </c>
      <c r="B131" s="160">
        <v>12</v>
      </c>
      <c r="C131" s="160">
        <v>9</v>
      </c>
      <c r="D131" s="162">
        <v>8</v>
      </c>
      <c r="E131" s="162">
        <v>3</v>
      </c>
      <c r="F131" s="164">
        <v>2</v>
      </c>
      <c r="G131" s="209">
        <v>0</v>
      </c>
    </row>
    <row r="132" spans="1:7" ht="12.75" x14ac:dyDescent="0.2">
      <c r="A132" s="240" t="s">
        <v>130</v>
      </c>
      <c r="B132" s="160">
        <v>12</v>
      </c>
      <c r="C132" s="160">
        <v>7</v>
      </c>
      <c r="D132" s="162">
        <v>6</v>
      </c>
      <c r="E132" s="162">
        <v>5</v>
      </c>
      <c r="F132" s="164">
        <v>3</v>
      </c>
      <c r="G132" s="209">
        <v>0</v>
      </c>
    </row>
    <row r="133" spans="1:7" ht="12.75" x14ac:dyDescent="0.2">
      <c r="A133" s="240" t="s">
        <v>131</v>
      </c>
      <c r="B133" s="160">
        <v>12</v>
      </c>
      <c r="C133" s="160">
        <v>9</v>
      </c>
      <c r="D133" s="162">
        <v>8</v>
      </c>
      <c r="E133" s="162">
        <v>3</v>
      </c>
      <c r="F133" s="164">
        <v>2</v>
      </c>
      <c r="G133" s="209">
        <v>0</v>
      </c>
    </row>
    <row r="134" spans="1:7" ht="12.75" x14ac:dyDescent="0.2">
      <c r="A134" s="240" t="s">
        <v>132</v>
      </c>
      <c r="B134" s="160">
        <v>12</v>
      </c>
      <c r="C134" s="160">
        <v>9</v>
      </c>
      <c r="D134" s="162">
        <v>8</v>
      </c>
      <c r="E134" s="162">
        <v>7</v>
      </c>
      <c r="F134" s="164">
        <v>6</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4</v>
      </c>
      <c r="C138" s="167">
        <v>4</v>
      </c>
      <c r="D138" s="169">
        <v>3</v>
      </c>
      <c r="E138" s="169">
        <v>2</v>
      </c>
      <c r="F138" s="170">
        <v>1</v>
      </c>
      <c r="G138" s="214">
        <v>0</v>
      </c>
    </row>
    <row r="139" spans="1:7" ht="12.75" thickBot="1" x14ac:dyDescent="0.25">
      <c r="A139" s="158" t="s">
        <v>187</v>
      </c>
      <c r="B139" s="161">
        <v>4</v>
      </c>
      <c r="C139" s="161">
        <v>3</v>
      </c>
      <c r="D139" s="163">
        <v>2</v>
      </c>
      <c r="E139" s="163">
        <v>2</v>
      </c>
      <c r="F139" s="166">
        <v>1</v>
      </c>
      <c r="G139" s="215">
        <v>0</v>
      </c>
    </row>
    <row r="142" spans="1:7" x14ac:dyDescent="0.2">
      <c r="A142" s="340" t="s">
        <v>188</v>
      </c>
      <c r="B142" s="340" t="s">
        <v>198</v>
      </c>
    </row>
    <row r="143" spans="1:7" x14ac:dyDescent="0.2">
      <c r="A143" s="341" t="s">
        <v>190</v>
      </c>
      <c r="B143" s="342">
        <f>HLOOKUP($B$142,'FA-18EF Mission System Summary'!$B$1:$F$12,2,FALSE)</f>
        <v>0.81398064731398057</v>
      </c>
    </row>
    <row r="144" spans="1:7" x14ac:dyDescent="0.2">
      <c r="A144" s="341" t="str">
        <f>A39</f>
        <v>Ready Advance Threat Warning Mission System (C)</v>
      </c>
      <c r="B144" s="342">
        <f>HLOOKUP($B$142,'FA-18EF Mission System Summary'!$B$1:$F$12,3,FALSE)</f>
        <v>0.69748319748319743</v>
      </c>
    </row>
    <row r="145" spans="1:2" x14ac:dyDescent="0.2">
      <c r="A145" s="341" t="str">
        <f t="shared" ref="A145:A153" si="49">A40</f>
        <v>Ready HARM Support Mission System (D)</v>
      </c>
      <c r="B145" s="342">
        <f>HLOOKUP($B$142,'FA-18EF Mission System Summary'!$B$1:$F$12,4,FALSE)</f>
        <v>0.15186615186615188</v>
      </c>
    </row>
    <row r="146" spans="1:2" x14ac:dyDescent="0.2">
      <c r="A146" s="341" t="str">
        <f t="shared" si="49"/>
        <v>Ready Missile Launch Mission System (E)</v>
      </c>
      <c r="B146" s="342">
        <f>HLOOKUP($B$142,'FA-18EF Mission System Summary'!$B$1:$F$12,5,FALSE)</f>
        <v>0.39761189761189758</v>
      </c>
    </row>
    <row r="147" spans="1:2" x14ac:dyDescent="0.2">
      <c r="A147" s="341" t="str">
        <f t="shared" si="49"/>
        <v>Ready Survivablity Mission System (F)</v>
      </c>
      <c r="B147" s="342">
        <f>HLOOKUP($B$142,'FA-18EF Mission System Summary'!$B$1:$F$12,6,FALSE)</f>
        <v>0.68590018590018587</v>
      </c>
    </row>
    <row r="148" spans="1:2" x14ac:dyDescent="0.2">
      <c r="A148" s="341" t="str">
        <f t="shared" si="49"/>
        <v>Ready Leathality Mission System (G)</v>
      </c>
      <c r="B148" s="342">
        <f>HLOOKUP($B$142,'FA-18EF Mission System Summary'!$B$1:$F$12,7,FALSE)</f>
        <v>0.69748319748319743</v>
      </c>
    </row>
    <row r="149" spans="1:2" x14ac:dyDescent="0.2">
      <c r="A149" s="341" t="str">
        <f t="shared" si="49"/>
        <v>Ready Combat Communications Mission System (H)</v>
      </c>
      <c r="B149" s="342">
        <f>HLOOKUP($B$142,'FA-18EF Mission System Summary'!$B$1:$F$12,8,FALSE)</f>
        <v>0.69748319748319743</v>
      </c>
    </row>
    <row r="150" spans="1:2" x14ac:dyDescent="0.2">
      <c r="A150" s="341" t="str">
        <f t="shared" si="49"/>
        <v>Ready Air to Air Refueling Mission Systems (I)</v>
      </c>
      <c r="B150" s="342">
        <f>HLOOKUP($B$142,'FA-18EF Mission System Summary'!$B$1:$F$12,9,FALSE)</f>
        <v>0.34949234949234947</v>
      </c>
    </row>
    <row r="151" spans="1:2" x14ac:dyDescent="0.2">
      <c r="A151" s="341" t="str">
        <f t="shared" si="49"/>
        <v>Ready Tactical Navigation Mission Systems (J)</v>
      </c>
      <c r="B151" s="342">
        <f>HLOOKUP($B$142,'FA-18EF Mission System Summary'!$B$1:$F$12,10,FALSE)</f>
        <v>0.74445874445874438</v>
      </c>
    </row>
    <row r="152" spans="1:2" x14ac:dyDescent="0.2">
      <c r="A152" s="341" t="str">
        <f t="shared" si="49"/>
        <v>Ready Shipboard Mission Systems (K)</v>
      </c>
      <c r="B152" s="342">
        <f>HLOOKUP($B$142,'FA-18EF Mission System Summary'!$B$1:$F$12,11,FALSE)</f>
        <v>0.326004576004576</v>
      </c>
    </row>
    <row r="153" spans="1:2" x14ac:dyDescent="0.2">
      <c r="A153" s="341" t="str">
        <f t="shared" si="49"/>
        <v>Ready IMC Flight Mission Systems (L)</v>
      </c>
      <c r="B153" s="342">
        <f>HLOOKUP($B$142,'FA-18EF Mission System Summary'!$B$1:$F$12,12,FALSE)</f>
        <v>1</v>
      </c>
    </row>
  </sheetData>
  <mergeCells count="13">
    <mergeCell ref="B120:C120"/>
    <mergeCell ref="D120:E120"/>
    <mergeCell ref="F120:G120"/>
    <mergeCell ref="A1:G1"/>
    <mergeCell ref="M1:P1"/>
    <mergeCell ref="B16:C16"/>
    <mergeCell ref="D16:F16"/>
    <mergeCell ref="G16:I16"/>
    <mergeCell ref="K16:M16"/>
    <mergeCell ref="A83:N83"/>
    <mergeCell ref="A93:B93"/>
    <mergeCell ref="A94:B94"/>
    <mergeCell ref="A116:B116"/>
  </mergeCells>
  <conditionalFormatting sqref="C122:C124 C126:C137">
    <cfRule type="cellIs" dxfId="43" priority="8" operator="equal">
      <formula>B122</formula>
    </cfRule>
  </conditionalFormatting>
  <conditionalFormatting sqref="D122:E124 D126:E137">
    <cfRule type="cellIs" dxfId="42" priority="9" operator="equal">
      <formula>C122</formula>
    </cfRule>
  </conditionalFormatting>
  <conditionalFormatting sqref="F122">
    <cfRule type="cellIs" dxfId="41" priority="10" operator="equal">
      <formula>E122</formula>
    </cfRule>
  </conditionalFormatting>
  <conditionalFormatting sqref="F123:F124 F126:F137">
    <cfRule type="cellIs" dxfId="40" priority="11" operator="equal">
      <formula>G123</formula>
    </cfRule>
    <cfRule type="cellIs" dxfId="39" priority="17" operator="equal">
      <formula>E123</formula>
    </cfRule>
  </conditionalFormatting>
  <conditionalFormatting sqref="E122:E123">
    <cfRule type="cellIs" dxfId="38" priority="19" operator="equal">
      <formula>D122</formula>
    </cfRule>
  </conditionalFormatting>
  <conditionalFormatting sqref="F122">
    <cfRule type="cellIs" dxfId="37" priority="18" operator="equal">
      <formula>E122</formula>
    </cfRule>
  </conditionalFormatting>
  <conditionalFormatting sqref="C122">
    <cfRule type="cellIs" dxfId="36" priority="21" operator="equal">
      <formula>B122</formula>
    </cfRule>
  </conditionalFormatting>
  <conditionalFormatting sqref="D122">
    <cfRule type="cellIs" dxfId="35" priority="16" operator="equal">
      <formula>C122</formula>
    </cfRule>
  </conditionalFormatting>
  <conditionalFormatting sqref="E122:E123">
    <cfRule type="cellIs" dxfId="34" priority="15" operator="equal">
      <formula>D122</formula>
    </cfRule>
  </conditionalFormatting>
  <conditionalFormatting sqref="F122">
    <cfRule type="cellIs" dxfId="33" priority="14" operator="equal">
      <formula>E122</formula>
    </cfRule>
  </conditionalFormatting>
  <conditionalFormatting sqref="C122">
    <cfRule type="cellIs" dxfId="32" priority="13" operator="equal">
      <formula>B122</formula>
    </cfRule>
  </conditionalFormatting>
  <conditionalFormatting sqref="D122">
    <cfRule type="cellIs" dxfId="31" priority="12" operator="equal">
      <formula>C122</formula>
    </cfRule>
  </conditionalFormatting>
  <conditionalFormatting sqref="E122:E123">
    <cfRule type="cellIs" dxfId="30" priority="20" operator="equal">
      <formula>D122</formula>
    </cfRule>
  </conditionalFormatting>
  <conditionalFormatting sqref="C125">
    <cfRule type="cellIs" dxfId="29" priority="7" operator="equal">
      <formula>B125</formula>
    </cfRule>
  </conditionalFormatting>
  <conditionalFormatting sqref="D125:E125">
    <cfRule type="cellIs" dxfId="28" priority="5" operator="equal">
      <formula>C125</formula>
    </cfRule>
  </conditionalFormatting>
  <conditionalFormatting sqref="F125">
    <cfRule type="cellIs" dxfId="27" priority="6" operator="equal">
      <formula>G125</formula>
    </cfRule>
    <cfRule type="cellIs" dxfId="26" priority="22" operator="equal">
      <formula>E125</formula>
    </cfRule>
  </conditionalFormatting>
  <conditionalFormatting sqref="C138:C139">
    <cfRule type="cellIs" dxfId="25" priority="1" operator="equal">
      <formula>B138</formula>
    </cfRule>
  </conditionalFormatting>
  <conditionalFormatting sqref="D138:E139">
    <cfRule type="cellIs" dxfId="24" priority="4" operator="equal">
      <formula>C138</formula>
    </cfRule>
  </conditionalFormatting>
  <conditionalFormatting sqref="F138:F139">
    <cfRule type="cellIs" dxfId="23" priority="2" operator="equal">
      <formula>E138</formula>
    </cfRule>
    <cfRule type="cellIs" dxfId="22" priority="3" operator="equal">
      <formula>G138</formula>
    </cfRule>
  </conditionalFormatting>
  <hyperlinks>
    <hyperlink ref="H1" location="Inventory!A1" display="Inventory" xr:uid="{00000000-0004-0000-0A00-000000000000}"/>
    <hyperlink ref="I121" location="Inventory!A1" display="Inventory" xr:uid="{00000000-0004-0000-0A00-000001000000}"/>
    <hyperlink ref="I120" location="'VFA (12F) (4 ARS) FDNF'!A1" display="Top" xr:uid="{00000000-0004-0000-0A00-000002000000}"/>
    <hyperlink ref="H2" location="'VFA (12F) (4 ARS) FDNF'!A140" display="AMFOM" xr:uid="{00000000-0004-0000-0A00-000003000000}"/>
  </hyperlinks>
  <printOptions horizontalCentered="1" verticalCentered="1"/>
  <pageMargins left="0.5" right="0.25" top="0.5" bottom="0.5" header="0.5" footer="0.5"/>
  <pageSetup scale="3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E153"/>
  <sheetViews>
    <sheetView showGridLines="0" zoomScaleNormal="100" zoomScaleSheetLayoutView="100" workbookViewId="0">
      <selection activeCell="H1" sqref="H1"/>
    </sheetView>
  </sheetViews>
  <sheetFormatPr defaultRowHeight="12" x14ac:dyDescent="0.2"/>
  <cols>
    <col min="1" max="1" width="41.140625" style="15" customWidth="1"/>
    <col min="2" max="29" width="5.7109375" style="15" customWidth="1"/>
    <col min="30" max="30" width="7.7109375" style="15" bestFit="1" customWidth="1"/>
    <col min="31" max="73" width="5.7109375" style="15" customWidth="1"/>
    <col min="74" max="16384" width="9.140625" style="15"/>
  </cols>
  <sheetData>
    <row r="1" spans="1:30" s="1" customFormat="1" ht="18.75" x14ac:dyDescent="0.3">
      <c r="A1" s="451" t="s">
        <v>206</v>
      </c>
      <c r="B1" s="451"/>
      <c r="C1" s="451"/>
      <c r="D1" s="451"/>
      <c r="E1" s="451"/>
      <c r="F1" s="451"/>
      <c r="G1" s="451"/>
      <c r="H1" s="145" t="s">
        <v>40</v>
      </c>
      <c r="J1" s="146" t="s">
        <v>41</v>
      </c>
      <c r="K1" s="441">
        <v>44805</v>
      </c>
      <c r="L1" s="442"/>
      <c r="M1" s="443"/>
      <c r="N1" s="443"/>
      <c r="AC1" s="324" t="s">
        <v>42</v>
      </c>
      <c r="AD1" s="325">
        <v>10.1</v>
      </c>
    </row>
    <row r="2" spans="1:30" s="4" customFormat="1" ht="12.75" x14ac:dyDescent="0.2">
      <c r="A2" s="2" t="s">
        <v>43</v>
      </c>
      <c r="B2" s="70">
        <v>12</v>
      </c>
      <c r="C2" s="59"/>
      <c r="D2" s="59"/>
      <c r="E2" s="62"/>
      <c r="F2" s="62"/>
      <c r="G2" s="62"/>
      <c r="H2" s="145" t="s">
        <v>3</v>
      </c>
      <c r="I2" s="145"/>
      <c r="J2" s="59"/>
      <c r="K2" s="59"/>
      <c r="L2" s="59"/>
      <c r="M2" s="59"/>
      <c r="N2" s="100"/>
    </row>
    <row r="3" spans="1:30" s="4" customFormat="1" ht="11.25" x14ac:dyDescent="0.2">
      <c r="A3" s="2" t="s">
        <v>44</v>
      </c>
      <c r="B3" s="71">
        <f>B4/B2</f>
        <v>1.4166666666666667</v>
      </c>
      <c r="C3" s="59"/>
      <c r="D3" s="59"/>
      <c r="E3" s="59"/>
      <c r="F3" s="59"/>
      <c r="G3" s="59"/>
      <c r="H3" s="59"/>
      <c r="I3" s="59"/>
      <c r="J3" s="59"/>
      <c r="K3" s="59"/>
      <c r="L3" s="59"/>
      <c r="M3" s="59"/>
      <c r="N3" s="100"/>
    </row>
    <row r="4" spans="1:30" s="4" customFormat="1" ht="11.25" x14ac:dyDescent="0.2">
      <c r="A4" s="2" t="s">
        <v>45</v>
      </c>
      <c r="B4" s="70">
        <v>17</v>
      </c>
      <c r="C4" s="59"/>
      <c r="D4" s="59"/>
      <c r="E4" s="59"/>
      <c r="F4" s="59"/>
      <c r="G4" s="59"/>
      <c r="H4" s="59"/>
      <c r="I4" s="59"/>
      <c r="J4" s="59"/>
      <c r="K4" s="59"/>
      <c r="L4" s="59"/>
      <c r="M4" s="59"/>
      <c r="N4" s="100"/>
    </row>
    <row r="5" spans="1:30" s="4" customFormat="1" ht="11.25" x14ac:dyDescent="0.2">
      <c r="A5" s="2" t="s">
        <v>46</v>
      </c>
      <c r="B5" s="72">
        <v>1.5</v>
      </c>
      <c r="C5" s="61"/>
      <c r="D5" s="59"/>
      <c r="E5" s="59"/>
      <c r="F5" s="59"/>
      <c r="G5" s="59"/>
      <c r="H5" s="59"/>
      <c r="I5" s="59"/>
      <c r="J5" s="59"/>
      <c r="K5" s="59"/>
      <c r="L5" s="59"/>
      <c r="M5" s="59"/>
      <c r="N5" s="100"/>
    </row>
    <row r="6" spans="1:30" s="4" customFormat="1" ht="11.25" x14ac:dyDescent="0.2">
      <c r="A6" s="6" t="s">
        <v>47</v>
      </c>
      <c r="B6" s="72">
        <v>27.5</v>
      </c>
      <c r="C6" s="61"/>
      <c r="D6" s="59"/>
      <c r="E6" s="59"/>
      <c r="F6" s="59"/>
      <c r="G6" s="59"/>
      <c r="H6" s="59"/>
      <c r="I6" s="59"/>
      <c r="J6" s="59"/>
      <c r="K6" s="59"/>
      <c r="L6" s="59"/>
      <c r="M6" s="59"/>
      <c r="N6" s="100"/>
    </row>
    <row r="7" spans="1:30" s="4" customFormat="1" ht="11.25" x14ac:dyDescent="0.2">
      <c r="A7" s="2" t="s">
        <v>48</v>
      </c>
      <c r="B7" s="72">
        <f>B6*B4</f>
        <v>467.5</v>
      </c>
      <c r="C7" s="60"/>
      <c r="D7" s="60"/>
      <c r="E7" s="59"/>
      <c r="F7" s="59"/>
      <c r="G7" s="59"/>
      <c r="H7" s="59"/>
      <c r="I7" s="59"/>
      <c r="J7" s="59"/>
      <c r="K7" s="59"/>
      <c r="L7" s="59"/>
      <c r="M7" s="59"/>
      <c r="N7" s="100"/>
    </row>
    <row r="8" spans="1:30" s="4" customFormat="1" ht="11.25" x14ac:dyDescent="0.2">
      <c r="A8" s="2" t="s">
        <v>49</v>
      </c>
      <c r="B8" s="70">
        <f>B7/B5</f>
        <v>311.66666666666669</v>
      </c>
      <c r="C8" s="59"/>
      <c r="D8" s="60"/>
      <c r="E8" s="59"/>
      <c r="F8" s="59"/>
      <c r="G8" s="59"/>
      <c r="H8" s="59"/>
      <c r="I8" s="59"/>
      <c r="J8" s="59"/>
      <c r="K8" s="59"/>
      <c r="L8" s="59"/>
      <c r="M8" s="59"/>
      <c r="N8" s="100"/>
    </row>
    <row r="9" spans="1:30" s="4" customFormat="1" ht="11.25" x14ac:dyDescent="0.2">
      <c r="A9" s="2" t="s">
        <v>50</v>
      </c>
      <c r="B9" s="72">
        <f>B4*C9</f>
        <v>17</v>
      </c>
      <c r="C9" s="72">
        <v>1</v>
      </c>
      <c r="D9" s="60" t="s">
        <v>51</v>
      </c>
      <c r="E9" s="59"/>
      <c r="F9" s="59"/>
      <c r="G9" s="92" t="s">
        <v>52</v>
      </c>
      <c r="H9" s="93">
        <v>0.4</v>
      </c>
      <c r="I9" s="59"/>
      <c r="J9" s="59"/>
      <c r="K9" s="59"/>
      <c r="L9" s="59"/>
      <c r="M9" s="59"/>
      <c r="N9" s="100"/>
    </row>
    <row r="10" spans="1:30" s="4" customFormat="1" ht="11.25" x14ac:dyDescent="0.2">
      <c r="A10" s="2" t="s">
        <v>53</v>
      </c>
      <c r="B10" s="72">
        <f>B4*C10</f>
        <v>105.4</v>
      </c>
      <c r="C10" s="72">
        <v>6.2</v>
      </c>
      <c r="D10" s="60" t="s">
        <v>51</v>
      </c>
      <c r="E10" s="59"/>
      <c r="F10" s="59"/>
      <c r="G10" s="94" t="s">
        <v>54</v>
      </c>
      <c r="H10" s="93">
        <v>0.26400000000000001</v>
      </c>
      <c r="I10" s="59"/>
      <c r="J10" s="59"/>
      <c r="K10" s="59"/>
      <c r="L10" s="59"/>
      <c r="M10" s="59"/>
    </row>
    <row r="11" spans="1:30" s="4" customFormat="1" ht="11.25" x14ac:dyDescent="0.2">
      <c r="A11" s="2" t="s">
        <v>55</v>
      </c>
      <c r="B11" s="4">
        <f>C11*B4</f>
        <v>34</v>
      </c>
      <c r="C11" s="5">
        <v>2</v>
      </c>
      <c r="D11" s="7" t="s">
        <v>51</v>
      </c>
      <c r="E11" s="59"/>
      <c r="F11" s="59"/>
      <c r="G11" s="94"/>
      <c r="H11" s="93"/>
      <c r="I11" s="59"/>
      <c r="J11" s="59"/>
      <c r="K11" s="59"/>
      <c r="L11" s="59"/>
      <c r="M11" s="59"/>
    </row>
    <row r="12" spans="1:30" s="4" customFormat="1" ht="11.25" x14ac:dyDescent="0.2">
      <c r="B12" s="60"/>
      <c r="C12" s="59"/>
      <c r="D12" s="61"/>
      <c r="E12" s="59"/>
      <c r="F12" s="59"/>
      <c r="G12" s="59"/>
      <c r="H12" s="59"/>
      <c r="I12" s="59"/>
      <c r="J12" s="59"/>
      <c r="K12" s="59"/>
      <c r="L12" s="59"/>
      <c r="M12" s="59"/>
    </row>
    <row r="13" spans="1:30" s="10" customFormat="1" ht="58.5" x14ac:dyDescent="0.2">
      <c r="A13" s="8" t="s">
        <v>56</v>
      </c>
      <c r="B13" s="63" t="s">
        <v>62</v>
      </c>
      <c r="C13" s="63" t="s">
        <v>62</v>
      </c>
      <c r="D13" s="63" t="s">
        <v>99</v>
      </c>
      <c r="E13" s="63" t="s">
        <v>99</v>
      </c>
      <c r="F13" s="63" t="s">
        <v>99</v>
      </c>
      <c r="G13" s="63" t="s">
        <v>62</v>
      </c>
      <c r="H13" s="63" t="s">
        <v>62</v>
      </c>
      <c r="I13" s="63" t="s">
        <v>62</v>
      </c>
      <c r="J13" s="63" t="s">
        <v>99</v>
      </c>
      <c r="K13" s="63" t="s">
        <v>99</v>
      </c>
      <c r="L13" s="63" t="s">
        <v>99</v>
      </c>
      <c r="M13" s="63" t="s">
        <v>99</v>
      </c>
      <c r="N13" s="115" t="s">
        <v>63</v>
      </c>
    </row>
    <row r="14" spans="1:30" s="13" customFormat="1" x14ac:dyDescent="0.2">
      <c r="A14" s="8" t="s">
        <v>64</v>
      </c>
      <c r="B14" s="86" t="s">
        <v>81</v>
      </c>
      <c r="C14" s="86" t="s">
        <v>82</v>
      </c>
      <c r="D14" s="86" t="s">
        <v>67</v>
      </c>
      <c r="E14" s="86" t="s">
        <v>68</v>
      </c>
      <c r="F14" s="86" t="s">
        <v>200</v>
      </c>
      <c r="G14" s="86" t="s">
        <v>83</v>
      </c>
      <c r="H14" s="86" t="s">
        <v>84</v>
      </c>
      <c r="I14" s="86" t="s">
        <v>85</v>
      </c>
      <c r="J14" s="86" t="s">
        <v>201</v>
      </c>
      <c r="K14" s="86" t="s">
        <v>202</v>
      </c>
      <c r="L14" s="86" t="s">
        <v>75</v>
      </c>
      <c r="M14" s="86" t="s">
        <v>203</v>
      </c>
      <c r="N14" s="11" t="s">
        <v>92</v>
      </c>
    </row>
    <row r="15" spans="1:30" s="13" customFormat="1" x14ac:dyDescent="0.2">
      <c r="A15" s="8" t="s">
        <v>93</v>
      </c>
      <c r="B15" s="85">
        <v>1</v>
      </c>
      <c r="C15" s="85">
        <v>2</v>
      </c>
      <c r="D15" s="85">
        <v>3</v>
      </c>
      <c r="E15" s="85">
        <v>4</v>
      </c>
      <c r="F15" s="85">
        <v>5</v>
      </c>
      <c r="G15" s="85">
        <v>6</v>
      </c>
      <c r="H15" s="85">
        <v>7</v>
      </c>
      <c r="I15" s="85">
        <v>8</v>
      </c>
      <c r="J15" s="85">
        <v>9</v>
      </c>
      <c r="K15" s="85">
        <v>10</v>
      </c>
      <c r="L15" s="85">
        <v>11</v>
      </c>
      <c r="M15" s="85">
        <v>12</v>
      </c>
      <c r="N15" s="11">
        <v>28</v>
      </c>
    </row>
    <row r="16" spans="1:30" x14ac:dyDescent="0.2">
      <c r="A16" s="8" t="s">
        <v>94</v>
      </c>
      <c r="B16" s="452" t="s">
        <v>62</v>
      </c>
      <c r="C16" s="453"/>
      <c r="D16" s="452" t="s">
        <v>99</v>
      </c>
      <c r="E16" s="454"/>
      <c r="F16" s="453"/>
      <c r="G16" s="452" t="s">
        <v>62</v>
      </c>
      <c r="H16" s="454"/>
      <c r="I16" s="453"/>
      <c r="J16" s="200" t="s">
        <v>99</v>
      </c>
      <c r="K16" s="452" t="s">
        <v>204</v>
      </c>
      <c r="L16" s="454"/>
      <c r="M16" s="453"/>
      <c r="N16" s="184" t="s">
        <v>100</v>
      </c>
    </row>
    <row r="17" spans="1:14" ht="12.75" x14ac:dyDescent="0.2">
      <c r="A17" s="96" t="s">
        <v>101</v>
      </c>
      <c r="B17" s="16"/>
      <c r="C17" s="18"/>
      <c r="D17" s="18"/>
      <c r="E17" s="18"/>
      <c r="F17" s="18"/>
      <c r="G17" s="18"/>
      <c r="H17" s="18"/>
      <c r="I17" s="18"/>
      <c r="J17" s="18"/>
      <c r="K17" s="18"/>
      <c r="L17" s="18"/>
      <c r="M17" s="18"/>
      <c r="N17" s="19"/>
    </row>
    <row r="18" spans="1:14" x14ac:dyDescent="0.2">
      <c r="A18" s="133" t="s">
        <v>102</v>
      </c>
      <c r="B18" s="185">
        <f>IF(B86&lt;80,B87,MIN(B86,80))</f>
        <v>80</v>
      </c>
      <c r="C18" s="185">
        <f t="shared" ref="C18:N18" si="0">IF(C86&lt;80,C87,MIN(C86,80))</f>
        <v>80</v>
      </c>
      <c r="D18" s="185">
        <f t="shared" si="0"/>
        <v>80</v>
      </c>
      <c r="E18" s="185">
        <f t="shared" si="0"/>
        <v>80</v>
      </c>
      <c r="F18" s="185">
        <f t="shared" si="0"/>
        <v>80</v>
      </c>
      <c r="G18" s="185">
        <f t="shared" si="0"/>
        <v>80</v>
      </c>
      <c r="H18" s="185">
        <f t="shared" si="0"/>
        <v>80</v>
      </c>
      <c r="I18" s="185">
        <f t="shared" si="0"/>
        <v>80</v>
      </c>
      <c r="J18" s="185">
        <f t="shared" si="0"/>
        <v>80</v>
      </c>
      <c r="K18" s="185">
        <f t="shared" si="0"/>
        <v>80</v>
      </c>
      <c r="L18" s="185">
        <f t="shared" si="0"/>
        <v>80</v>
      </c>
      <c r="M18" s="186">
        <f t="shared" si="0"/>
        <v>80</v>
      </c>
      <c r="N18" s="185">
        <f t="shared" si="0"/>
        <v>25.098281988201322</v>
      </c>
    </row>
    <row r="19" spans="1:14" x14ac:dyDescent="0.2">
      <c r="A19" s="19" t="s">
        <v>103</v>
      </c>
      <c r="B19" s="178">
        <v>0.8</v>
      </c>
      <c r="C19" s="178">
        <v>0.8</v>
      </c>
      <c r="D19" s="178">
        <v>0.6</v>
      </c>
      <c r="E19" s="178">
        <v>0.75</v>
      </c>
      <c r="F19" s="178">
        <v>0.75</v>
      </c>
      <c r="G19" s="178">
        <v>0.8</v>
      </c>
      <c r="H19" s="178">
        <v>0.8</v>
      </c>
      <c r="I19" s="178">
        <v>0.8</v>
      </c>
      <c r="J19" s="178">
        <v>0.6</v>
      </c>
      <c r="K19" s="178">
        <v>0.75</v>
      </c>
      <c r="L19" s="178">
        <v>0.75</v>
      </c>
      <c r="M19" s="187">
        <v>0.75</v>
      </c>
      <c r="N19" s="178">
        <v>0.4</v>
      </c>
    </row>
    <row r="20" spans="1:14" x14ac:dyDescent="0.2">
      <c r="A20" s="177" t="s">
        <v>104</v>
      </c>
      <c r="B20" s="182"/>
      <c r="C20" s="183"/>
      <c r="D20" s="183"/>
      <c r="E20" s="183"/>
      <c r="F20" s="183"/>
      <c r="G20" s="183"/>
      <c r="H20" s="183"/>
      <c r="I20" s="183"/>
      <c r="J20" s="183"/>
      <c r="K20" s="183"/>
      <c r="L20" s="183"/>
      <c r="M20" s="183"/>
      <c r="N20" s="20"/>
    </row>
    <row r="21" spans="1:14" s="27" customFormat="1" x14ac:dyDescent="0.2">
      <c r="A21" s="24" t="s">
        <v>105</v>
      </c>
      <c r="B21" s="179">
        <f t="shared" ref="B21:N21" si="1">B19*$B$8</f>
        <v>249.33333333333337</v>
      </c>
      <c r="C21" s="179">
        <f t="shared" si="1"/>
        <v>249.33333333333337</v>
      </c>
      <c r="D21" s="179">
        <f t="shared" si="1"/>
        <v>187</v>
      </c>
      <c r="E21" s="179">
        <f t="shared" si="1"/>
        <v>233.75</v>
      </c>
      <c r="F21" s="179">
        <f t="shared" si="1"/>
        <v>233.75</v>
      </c>
      <c r="G21" s="179">
        <f t="shared" si="1"/>
        <v>249.33333333333337</v>
      </c>
      <c r="H21" s="179">
        <f t="shared" si="1"/>
        <v>249.33333333333337</v>
      </c>
      <c r="I21" s="179">
        <f t="shared" si="1"/>
        <v>249.33333333333337</v>
      </c>
      <c r="J21" s="179">
        <f t="shared" si="1"/>
        <v>187</v>
      </c>
      <c r="K21" s="179">
        <f t="shared" si="1"/>
        <v>233.75</v>
      </c>
      <c r="L21" s="179">
        <f t="shared" si="1"/>
        <v>233.75</v>
      </c>
      <c r="M21" s="188">
        <f t="shared" si="1"/>
        <v>233.75</v>
      </c>
      <c r="N21" s="179">
        <f t="shared" si="1"/>
        <v>124.66666666666669</v>
      </c>
    </row>
    <row r="22" spans="1:14" s="30" customFormat="1" x14ac:dyDescent="0.2">
      <c r="A22" s="24" t="s">
        <v>106</v>
      </c>
      <c r="B22" s="28">
        <f t="shared" ref="B22:N22" si="2">B21*$B$5</f>
        <v>374.00000000000006</v>
      </c>
      <c r="C22" s="28">
        <f t="shared" si="2"/>
        <v>374.00000000000006</v>
      </c>
      <c r="D22" s="28">
        <f t="shared" si="2"/>
        <v>280.5</v>
      </c>
      <c r="E22" s="28">
        <f t="shared" si="2"/>
        <v>350.625</v>
      </c>
      <c r="F22" s="28">
        <f t="shared" si="2"/>
        <v>350.625</v>
      </c>
      <c r="G22" s="28">
        <f t="shared" si="2"/>
        <v>374.00000000000006</v>
      </c>
      <c r="H22" s="28">
        <f t="shared" si="2"/>
        <v>374.00000000000006</v>
      </c>
      <c r="I22" s="28">
        <f t="shared" si="2"/>
        <v>374.00000000000006</v>
      </c>
      <c r="J22" s="28">
        <f t="shared" si="2"/>
        <v>280.5</v>
      </c>
      <c r="K22" s="28">
        <f t="shared" si="2"/>
        <v>350.625</v>
      </c>
      <c r="L22" s="28">
        <f t="shared" si="2"/>
        <v>350.625</v>
      </c>
      <c r="M22" s="175">
        <f t="shared" si="2"/>
        <v>350.625</v>
      </c>
      <c r="N22" s="28">
        <f t="shared" si="2"/>
        <v>187.00000000000003</v>
      </c>
    </row>
    <row r="23" spans="1:14" s="30" customFormat="1" x14ac:dyDescent="0.2">
      <c r="A23" s="24" t="s">
        <v>107</v>
      </c>
      <c r="B23" s="101">
        <f>$B$9</f>
        <v>17</v>
      </c>
      <c r="C23" s="101">
        <f t="shared" ref="C23:N23" si="3">$B$9</f>
        <v>17</v>
      </c>
      <c r="D23" s="101">
        <f t="shared" si="3"/>
        <v>17</v>
      </c>
      <c r="E23" s="101">
        <f t="shared" si="3"/>
        <v>17</v>
      </c>
      <c r="F23" s="101">
        <f t="shared" si="3"/>
        <v>17</v>
      </c>
      <c r="G23" s="101">
        <f t="shared" si="3"/>
        <v>17</v>
      </c>
      <c r="H23" s="101">
        <f t="shared" si="3"/>
        <v>17</v>
      </c>
      <c r="I23" s="101">
        <f t="shared" si="3"/>
        <v>17</v>
      </c>
      <c r="J23" s="101">
        <f t="shared" si="3"/>
        <v>17</v>
      </c>
      <c r="K23" s="101">
        <f t="shared" si="3"/>
        <v>17</v>
      </c>
      <c r="L23" s="101">
        <f t="shared" si="3"/>
        <v>17</v>
      </c>
      <c r="M23" s="189">
        <f t="shared" si="3"/>
        <v>17</v>
      </c>
      <c r="N23" s="101">
        <f t="shared" si="3"/>
        <v>17</v>
      </c>
    </row>
    <row r="24" spans="1:14" s="30" customFormat="1" x14ac:dyDescent="0.2">
      <c r="A24" s="24" t="s">
        <v>108</v>
      </c>
      <c r="B24" s="101">
        <f t="shared" ref="B24:M24" si="4">IF(ISBLANK(B118),0,$B$10)</f>
        <v>105.4</v>
      </c>
      <c r="C24" s="101">
        <f t="shared" si="4"/>
        <v>105.4</v>
      </c>
      <c r="D24" s="101">
        <f t="shared" si="4"/>
        <v>0</v>
      </c>
      <c r="E24" s="101">
        <f t="shared" si="4"/>
        <v>0</v>
      </c>
      <c r="F24" s="101">
        <f t="shared" si="4"/>
        <v>0</v>
      </c>
      <c r="G24" s="101">
        <f t="shared" si="4"/>
        <v>105.4</v>
      </c>
      <c r="H24" s="101">
        <f t="shared" si="4"/>
        <v>105.4</v>
      </c>
      <c r="I24" s="101">
        <f t="shared" si="4"/>
        <v>105.4</v>
      </c>
      <c r="J24" s="101">
        <f t="shared" si="4"/>
        <v>0</v>
      </c>
      <c r="K24" s="101">
        <f t="shared" si="4"/>
        <v>0</v>
      </c>
      <c r="L24" s="101">
        <f t="shared" si="4"/>
        <v>0</v>
      </c>
      <c r="M24" s="189">
        <f t="shared" si="4"/>
        <v>0</v>
      </c>
      <c r="N24" s="101">
        <f>IF(ISBLANK(N107),0,$B$10)</f>
        <v>0</v>
      </c>
    </row>
    <row r="25" spans="1:14" s="30" customFormat="1" x14ac:dyDescent="0.2">
      <c r="A25" s="24" t="s">
        <v>109</v>
      </c>
      <c r="B25" s="28">
        <f>B21*$B$5+SUM(B23:B24)</f>
        <v>496.40000000000009</v>
      </c>
      <c r="C25" s="28">
        <f t="shared" ref="C25:M25" si="5">C21*$B$5+SUM(C23:C24)</f>
        <v>496.40000000000009</v>
      </c>
      <c r="D25" s="28">
        <f t="shared" si="5"/>
        <v>297.5</v>
      </c>
      <c r="E25" s="28">
        <f t="shared" si="5"/>
        <v>367.625</v>
      </c>
      <c r="F25" s="28">
        <f t="shared" si="5"/>
        <v>367.625</v>
      </c>
      <c r="G25" s="28">
        <f t="shared" si="5"/>
        <v>496.40000000000009</v>
      </c>
      <c r="H25" s="28">
        <f t="shared" si="5"/>
        <v>496.40000000000009</v>
      </c>
      <c r="I25" s="28">
        <f t="shared" si="5"/>
        <v>496.40000000000009</v>
      </c>
      <c r="J25" s="28">
        <f t="shared" si="5"/>
        <v>297.5</v>
      </c>
      <c r="K25" s="28">
        <f t="shared" si="5"/>
        <v>367.625</v>
      </c>
      <c r="L25" s="28">
        <f t="shared" si="5"/>
        <v>367.625</v>
      </c>
      <c r="M25" s="175">
        <f t="shared" si="5"/>
        <v>367.625</v>
      </c>
      <c r="N25" s="28">
        <f>N21*$B$5+SUM(N23:N24)</f>
        <v>204.00000000000003</v>
      </c>
    </row>
    <row r="26" spans="1:14" s="30" customFormat="1" x14ac:dyDescent="0.2">
      <c r="A26" s="31" t="s">
        <v>110</v>
      </c>
      <c r="B26" s="32">
        <f t="shared" ref="B26:M26" si="6">-IF(ISBLANK(B117),0,MIN(B$22*$H$10,B$22-$B$7*$H$9))</f>
        <v>0</v>
      </c>
      <c r="C26" s="32">
        <f t="shared" si="6"/>
        <v>0</v>
      </c>
      <c r="D26" s="32">
        <f t="shared" si="6"/>
        <v>0</v>
      </c>
      <c r="E26" s="32">
        <f t="shared" si="6"/>
        <v>0</v>
      </c>
      <c r="F26" s="32">
        <f t="shared" si="6"/>
        <v>0</v>
      </c>
      <c r="G26" s="32">
        <f t="shared" si="6"/>
        <v>0</v>
      </c>
      <c r="H26" s="32">
        <f t="shared" si="6"/>
        <v>0</v>
      </c>
      <c r="I26" s="32">
        <f t="shared" si="6"/>
        <v>0</v>
      </c>
      <c r="J26" s="32">
        <f t="shared" si="6"/>
        <v>0</v>
      </c>
      <c r="K26" s="32">
        <f t="shared" si="6"/>
        <v>0</v>
      </c>
      <c r="L26" s="32">
        <f t="shared" si="6"/>
        <v>0</v>
      </c>
      <c r="M26" s="172">
        <f t="shared" si="6"/>
        <v>0</v>
      </c>
      <c r="N26" s="32">
        <f>-IF(ISBLANK(N106),0,MIN(N$22*$H$10,N$22-$B$7*$H$9))</f>
        <v>0</v>
      </c>
    </row>
    <row r="27" spans="1:14" s="30" customFormat="1" x14ac:dyDescent="0.2">
      <c r="A27" s="24" t="s">
        <v>111</v>
      </c>
      <c r="B27" s="32">
        <f t="shared" ref="B27:M27" si="7">SUM(B25:B26)</f>
        <v>496.40000000000009</v>
      </c>
      <c r="C27" s="32">
        <f t="shared" si="7"/>
        <v>496.40000000000009</v>
      </c>
      <c r="D27" s="32">
        <f t="shared" si="7"/>
        <v>297.5</v>
      </c>
      <c r="E27" s="32">
        <f t="shared" si="7"/>
        <v>367.625</v>
      </c>
      <c r="F27" s="32">
        <f t="shared" si="7"/>
        <v>367.625</v>
      </c>
      <c r="G27" s="32">
        <f t="shared" si="7"/>
        <v>496.40000000000009</v>
      </c>
      <c r="H27" s="32">
        <f t="shared" si="7"/>
        <v>496.40000000000009</v>
      </c>
      <c r="I27" s="32">
        <f t="shared" si="7"/>
        <v>496.40000000000009</v>
      </c>
      <c r="J27" s="32">
        <f t="shared" si="7"/>
        <v>297.5</v>
      </c>
      <c r="K27" s="32">
        <f t="shared" si="7"/>
        <v>367.625</v>
      </c>
      <c r="L27" s="32">
        <f t="shared" si="7"/>
        <v>367.625</v>
      </c>
      <c r="M27" s="172">
        <f t="shared" si="7"/>
        <v>367.625</v>
      </c>
      <c r="N27" s="32">
        <f>SUM(N25:N26)</f>
        <v>204.00000000000003</v>
      </c>
    </row>
    <row r="28" spans="1:14" s="30" customFormat="1" x14ac:dyDescent="0.2">
      <c r="A28" s="31" t="s">
        <v>112</v>
      </c>
      <c r="B28" s="32">
        <f>AVERAGE(L22:M22,B22)</f>
        <v>358.41666666666669</v>
      </c>
      <c r="C28" s="32">
        <f>AVERAGE(M22,B22:C22)</f>
        <v>366.20833333333331</v>
      </c>
      <c r="D28" s="32">
        <f t="shared" ref="D28:M28" si="8">AVERAGE(B22:D22)</f>
        <v>342.83333333333331</v>
      </c>
      <c r="E28" s="32">
        <f t="shared" si="8"/>
        <v>335.04166666666669</v>
      </c>
      <c r="F28" s="32">
        <f t="shared" si="8"/>
        <v>327.25</v>
      </c>
      <c r="G28" s="32">
        <f t="shared" si="8"/>
        <v>358.41666666666669</v>
      </c>
      <c r="H28" s="32">
        <f t="shared" si="8"/>
        <v>366.20833333333331</v>
      </c>
      <c r="I28" s="32">
        <f t="shared" si="8"/>
        <v>374.00000000000006</v>
      </c>
      <c r="J28" s="32">
        <f t="shared" si="8"/>
        <v>342.83333333333331</v>
      </c>
      <c r="K28" s="32">
        <f t="shared" si="8"/>
        <v>335.04166666666669</v>
      </c>
      <c r="L28" s="32">
        <f t="shared" si="8"/>
        <v>327.25</v>
      </c>
      <c r="M28" s="172">
        <f t="shared" si="8"/>
        <v>350.625</v>
      </c>
      <c r="N28" s="32" t="s">
        <v>193</v>
      </c>
    </row>
    <row r="29" spans="1:14" s="30" customFormat="1" x14ac:dyDescent="0.2">
      <c r="A29" s="174" t="s">
        <v>113</v>
      </c>
      <c r="B29" s="175"/>
      <c r="C29" s="176"/>
      <c r="D29" s="176"/>
      <c r="E29" s="176"/>
      <c r="F29" s="176"/>
      <c r="G29" s="176"/>
      <c r="H29" s="176"/>
      <c r="I29" s="176"/>
      <c r="J29" s="176"/>
      <c r="K29" s="176"/>
      <c r="L29" s="176"/>
      <c r="M29" s="176"/>
      <c r="N29" s="28"/>
    </row>
    <row r="30" spans="1:14" s="30" customFormat="1" x14ac:dyDescent="0.2">
      <c r="A30" s="31" t="s">
        <v>114</v>
      </c>
      <c r="B30" s="173">
        <f t="shared" ref="B30:N30" si="9">IF(ISBLANK(B117),0,$B$11)</f>
        <v>0</v>
      </c>
      <c r="C30" s="173">
        <f t="shared" si="9"/>
        <v>0</v>
      </c>
      <c r="D30" s="173">
        <f t="shared" si="9"/>
        <v>0</v>
      </c>
      <c r="E30" s="173">
        <f t="shared" si="9"/>
        <v>0</v>
      </c>
      <c r="F30" s="173">
        <f t="shared" si="9"/>
        <v>0</v>
      </c>
      <c r="G30" s="173">
        <f t="shared" si="9"/>
        <v>0</v>
      </c>
      <c r="H30" s="173">
        <f t="shared" si="9"/>
        <v>0</v>
      </c>
      <c r="I30" s="173">
        <f t="shared" si="9"/>
        <v>0</v>
      </c>
      <c r="J30" s="173">
        <f t="shared" si="9"/>
        <v>0</v>
      </c>
      <c r="K30" s="173">
        <f t="shared" si="9"/>
        <v>0</v>
      </c>
      <c r="L30" s="173">
        <f t="shared" si="9"/>
        <v>0</v>
      </c>
      <c r="M30" s="190">
        <f t="shared" si="9"/>
        <v>0</v>
      </c>
      <c r="N30" s="173">
        <f t="shared" si="9"/>
        <v>0</v>
      </c>
    </row>
    <row r="31" spans="1:14" s="30" customFormat="1" ht="12.75" x14ac:dyDescent="0.2">
      <c r="A31" s="33" t="s">
        <v>115</v>
      </c>
      <c r="B31" s="34"/>
      <c r="C31" s="35"/>
      <c r="D31" s="35"/>
      <c r="E31" s="35"/>
      <c r="F31" s="35"/>
      <c r="G31" s="35"/>
      <c r="H31" s="35"/>
      <c r="I31" s="35"/>
      <c r="J31" s="35"/>
      <c r="K31" s="35"/>
      <c r="L31" s="35"/>
      <c r="M31" s="57"/>
      <c r="N31" s="24"/>
    </row>
    <row r="32" spans="1:14" s="30" customFormat="1" x14ac:dyDescent="0.2">
      <c r="A32" s="8" t="s">
        <v>116</v>
      </c>
      <c r="B32" s="20">
        <v>1</v>
      </c>
      <c r="C32" s="20">
        <v>1</v>
      </c>
      <c r="D32" s="20">
        <v>1</v>
      </c>
      <c r="E32" s="20">
        <v>1</v>
      </c>
      <c r="F32" s="20">
        <v>1</v>
      </c>
      <c r="G32" s="20">
        <v>1</v>
      </c>
      <c r="H32" s="20">
        <v>1</v>
      </c>
      <c r="I32" s="20">
        <v>1</v>
      </c>
      <c r="J32" s="20">
        <v>1</v>
      </c>
      <c r="K32" s="20">
        <v>1</v>
      </c>
      <c r="L32" s="20">
        <v>1</v>
      </c>
      <c r="M32" s="20">
        <v>1</v>
      </c>
      <c r="N32" s="20">
        <v>1</v>
      </c>
    </row>
    <row r="33" spans="1:31" s="30" customFormat="1" x14ac:dyDescent="0.2">
      <c r="A33" s="8" t="s">
        <v>117</v>
      </c>
      <c r="B33" s="36">
        <v>0.8</v>
      </c>
      <c r="C33" s="36">
        <v>0.8</v>
      </c>
      <c r="D33" s="36">
        <v>0.8</v>
      </c>
      <c r="E33" s="36">
        <v>0.8</v>
      </c>
      <c r="F33" s="36">
        <v>0.8</v>
      </c>
      <c r="G33" s="36">
        <v>0.8</v>
      </c>
      <c r="H33" s="36">
        <v>0.8</v>
      </c>
      <c r="I33" s="36">
        <v>0.8</v>
      </c>
      <c r="J33" s="36">
        <v>0.8</v>
      </c>
      <c r="K33" s="36">
        <v>0.8</v>
      </c>
      <c r="L33" s="36">
        <v>0.8</v>
      </c>
      <c r="M33" s="36">
        <v>0.8</v>
      </c>
      <c r="N33" s="36">
        <v>0.8</v>
      </c>
    </row>
    <row r="34" spans="1:31" s="30" customFormat="1" x14ac:dyDescent="0.2">
      <c r="A34" s="8" t="s">
        <v>118</v>
      </c>
      <c r="B34" s="36">
        <f>((B36*$B$143)/$B$2)</f>
        <v>0.65118451785118447</v>
      </c>
      <c r="C34" s="36">
        <f t="shared" ref="C34:N34" si="10">((C36*$B$143)/$B$2)</f>
        <v>0.65118451785118447</v>
      </c>
      <c r="D34" s="36">
        <f t="shared" si="10"/>
        <v>0.65118451785118447</v>
      </c>
      <c r="E34" s="36">
        <f t="shared" si="10"/>
        <v>0.65118451785118447</v>
      </c>
      <c r="F34" s="36">
        <f t="shared" si="10"/>
        <v>0.65118451785118447</v>
      </c>
      <c r="G34" s="36">
        <f t="shared" si="10"/>
        <v>0.65118451785118447</v>
      </c>
      <c r="H34" s="36">
        <f t="shared" si="10"/>
        <v>0.65118451785118447</v>
      </c>
      <c r="I34" s="36">
        <f t="shared" si="10"/>
        <v>0.65118451785118447</v>
      </c>
      <c r="J34" s="36">
        <f t="shared" si="10"/>
        <v>0.65118451785118447</v>
      </c>
      <c r="K34" s="36">
        <f t="shared" si="10"/>
        <v>0.65118451785118447</v>
      </c>
      <c r="L34" s="36">
        <f t="shared" si="10"/>
        <v>0.65118451785118447</v>
      </c>
      <c r="M34" s="36">
        <f t="shared" si="10"/>
        <v>0.65118451785118447</v>
      </c>
      <c r="N34" s="36">
        <f t="shared" si="10"/>
        <v>0.65118451785118447</v>
      </c>
    </row>
    <row r="35" spans="1:31" s="30" customFormat="1" x14ac:dyDescent="0.2">
      <c r="A35" s="24" t="s">
        <v>119</v>
      </c>
      <c r="B35" s="132">
        <f t="shared" ref="B35:N35" si="11">ROUND($B$2*B$32,2)</f>
        <v>12</v>
      </c>
      <c r="C35" s="132">
        <f t="shared" si="11"/>
        <v>12</v>
      </c>
      <c r="D35" s="132">
        <f t="shared" si="11"/>
        <v>12</v>
      </c>
      <c r="E35" s="132">
        <f t="shared" si="11"/>
        <v>12</v>
      </c>
      <c r="F35" s="132">
        <f t="shared" si="11"/>
        <v>12</v>
      </c>
      <c r="G35" s="132">
        <f t="shared" si="11"/>
        <v>12</v>
      </c>
      <c r="H35" s="132">
        <f t="shared" si="11"/>
        <v>12</v>
      </c>
      <c r="I35" s="132">
        <f t="shared" si="11"/>
        <v>12</v>
      </c>
      <c r="J35" s="132">
        <f t="shared" si="11"/>
        <v>12</v>
      </c>
      <c r="K35" s="132">
        <f t="shared" si="11"/>
        <v>12</v>
      </c>
      <c r="L35" s="132">
        <f t="shared" si="11"/>
        <v>12</v>
      </c>
      <c r="M35" s="132">
        <f t="shared" si="11"/>
        <v>12</v>
      </c>
      <c r="N35" s="132">
        <f t="shared" si="11"/>
        <v>12</v>
      </c>
    </row>
    <row r="36" spans="1:31" x14ac:dyDescent="0.2">
      <c r="A36" s="24" t="s">
        <v>120</v>
      </c>
      <c r="B36" s="132">
        <f t="shared" ref="B36:N36" si="12">ROUND($B$2*B$33,2)</f>
        <v>9.6</v>
      </c>
      <c r="C36" s="132">
        <f t="shared" si="12"/>
        <v>9.6</v>
      </c>
      <c r="D36" s="132">
        <f t="shared" si="12"/>
        <v>9.6</v>
      </c>
      <c r="E36" s="132">
        <f t="shared" si="12"/>
        <v>9.6</v>
      </c>
      <c r="F36" s="132">
        <f t="shared" si="12"/>
        <v>9.6</v>
      </c>
      <c r="G36" s="132">
        <f t="shared" si="12"/>
        <v>9.6</v>
      </c>
      <c r="H36" s="132">
        <f t="shared" si="12"/>
        <v>9.6</v>
      </c>
      <c r="I36" s="132">
        <f t="shared" si="12"/>
        <v>9.6</v>
      </c>
      <c r="J36" s="132">
        <f t="shared" si="12"/>
        <v>9.6</v>
      </c>
      <c r="K36" s="132">
        <f t="shared" si="12"/>
        <v>9.6</v>
      </c>
      <c r="L36" s="132">
        <f t="shared" si="12"/>
        <v>9.6</v>
      </c>
      <c r="M36" s="132">
        <f t="shared" si="12"/>
        <v>9.6</v>
      </c>
      <c r="N36" s="132">
        <f t="shared" si="12"/>
        <v>9.6</v>
      </c>
    </row>
    <row r="37" spans="1:31" x14ac:dyDescent="0.2">
      <c r="A37" s="202" t="s">
        <v>121</v>
      </c>
      <c r="B37" s="360">
        <f>B34*$B$2</f>
        <v>7.8142142142142141</v>
      </c>
      <c r="C37" s="360">
        <f t="shared" ref="C37:N37" si="13">C34*$B$2</f>
        <v>7.8142142142142141</v>
      </c>
      <c r="D37" s="360">
        <f t="shared" si="13"/>
        <v>7.8142142142142141</v>
      </c>
      <c r="E37" s="360">
        <f t="shared" si="13"/>
        <v>7.8142142142142141</v>
      </c>
      <c r="F37" s="360">
        <f t="shared" si="13"/>
        <v>7.8142142142142141</v>
      </c>
      <c r="G37" s="360">
        <f t="shared" si="13"/>
        <v>7.8142142142142141</v>
      </c>
      <c r="H37" s="360">
        <f t="shared" si="13"/>
        <v>7.8142142142142141</v>
      </c>
      <c r="I37" s="360">
        <f t="shared" si="13"/>
        <v>7.8142142142142141</v>
      </c>
      <c r="J37" s="360">
        <f t="shared" si="13"/>
        <v>7.8142142142142141</v>
      </c>
      <c r="K37" s="360">
        <f t="shared" si="13"/>
        <v>7.8142142142142141</v>
      </c>
      <c r="L37" s="360">
        <f t="shared" si="13"/>
        <v>7.8142142142142141</v>
      </c>
      <c r="M37" s="360">
        <f t="shared" si="13"/>
        <v>7.8142142142142141</v>
      </c>
      <c r="N37" s="360">
        <f t="shared" si="13"/>
        <v>7.8142142142142141</v>
      </c>
    </row>
    <row r="38" spans="1:31" s="225" customFormat="1" ht="12.75" x14ac:dyDescent="0.2">
      <c r="A38" s="222" t="s">
        <v>122</v>
      </c>
      <c r="B38" s="345"/>
      <c r="C38" s="361"/>
      <c r="D38" s="361"/>
      <c r="E38" s="361"/>
      <c r="F38" s="361"/>
      <c r="G38" s="361"/>
      <c r="H38" s="361"/>
      <c r="I38" s="361"/>
      <c r="J38" s="361"/>
      <c r="K38" s="361"/>
      <c r="L38" s="361"/>
      <c r="M38" s="361"/>
      <c r="N38" s="361"/>
      <c r="O38" s="234"/>
      <c r="P38" s="232"/>
      <c r="Q38" s="232"/>
      <c r="R38" s="232"/>
      <c r="S38" s="232"/>
      <c r="T38" s="232"/>
      <c r="U38" s="232"/>
      <c r="V38" s="232"/>
      <c r="W38" s="232"/>
      <c r="X38" s="232"/>
      <c r="Y38" s="232"/>
      <c r="Z38" s="232"/>
      <c r="AA38" s="232"/>
      <c r="AB38" s="232"/>
      <c r="AC38" s="233"/>
      <c r="AD38" s="224"/>
      <c r="AE38" s="224"/>
    </row>
    <row r="39" spans="1:31" s="225" customFormat="1" ht="12.75" x14ac:dyDescent="0.2">
      <c r="A39" s="240" t="s">
        <v>123</v>
      </c>
      <c r="B39" s="323">
        <f t="shared" ref="B39:N39" si="14">IF($B144&gt;=0.9, B$36,B$36*$B144)</f>
        <v>6.6958386958386953</v>
      </c>
      <c r="C39" s="323">
        <f t="shared" si="14"/>
        <v>6.6958386958386953</v>
      </c>
      <c r="D39" s="323">
        <f t="shared" si="14"/>
        <v>6.6958386958386953</v>
      </c>
      <c r="E39" s="323">
        <f t="shared" si="14"/>
        <v>6.6958386958386953</v>
      </c>
      <c r="F39" s="323">
        <f t="shared" si="14"/>
        <v>6.6958386958386953</v>
      </c>
      <c r="G39" s="323">
        <f t="shared" si="14"/>
        <v>6.6958386958386953</v>
      </c>
      <c r="H39" s="323">
        <f t="shared" si="14"/>
        <v>6.6958386958386953</v>
      </c>
      <c r="I39" s="323">
        <f t="shared" si="14"/>
        <v>6.6958386958386953</v>
      </c>
      <c r="J39" s="323">
        <f t="shared" si="14"/>
        <v>6.6958386958386953</v>
      </c>
      <c r="K39" s="323">
        <f t="shared" si="14"/>
        <v>6.6958386958386953</v>
      </c>
      <c r="L39" s="323">
        <f t="shared" si="14"/>
        <v>6.6958386958386953</v>
      </c>
      <c r="M39" s="323">
        <f t="shared" si="14"/>
        <v>6.6958386958386953</v>
      </c>
      <c r="N39" s="323">
        <f t="shared" si="14"/>
        <v>6.6958386958386953</v>
      </c>
      <c r="O39" s="232"/>
      <c r="P39" s="232"/>
      <c r="Q39" s="232"/>
      <c r="R39" s="232"/>
      <c r="S39" s="232"/>
      <c r="T39" s="232"/>
      <c r="U39" s="232"/>
      <c r="V39" s="232"/>
      <c r="W39" s="232"/>
      <c r="X39" s="232"/>
      <c r="Y39" s="232"/>
      <c r="Z39" s="232"/>
      <c r="AA39" s="232"/>
      <c r="AB39" s="232"/>
      <c r="AC39" s="233"/>
      <c r="AD39" s="224"/>
      <c r="AE39" s="224"/>
    </row>
    <row r="40" spans="1:31" s="225" customFormat="1" ht="12.75" x14ac:dyDescent="0.2">
      <c r="A40" s="240" t="s">
        <v>124</v>
      </c>
      <c r="B40" s="323">
        <f t="shared" ref="B40:N40" si="15">IF($B145&gt;=0.9, B$36,B$36*$B145)</f>
        <v>1.4579150579150579</v>
      </c>
      <c r="C40" s="323">
        <f t="shared" si="15"/>
        <v>1.4579150579150579</v>
      </c>
      <c r="D40" s="323">
        <f t="shared" si="15"/>
        <v>1.4579150579150579</v>
      </c>
      <c r="E40" s="323">
        <f t="shared" si="15"/>
        <v>1.4579150579150579</v>
      </c>
      <c r="F40" s="323">
        <f t="shared" si="15"/>
        <v>1.4579150579150579</v>
      </c>
      <c r="G40" s="323">
        <f t="shared" si="15"/>
        <v>1.4579150579150579</v>
      </c>
      <c r="H40" s="323">
        <f t="shared" si="15"/>
        <v>1.4579150579150579</v>
      </c>
      <c r="I40" s="323">
        <f t="shared" si="15"/>
        <v>1.4579150579150579</v>
      </c>
      <c r="J40" s="323">
        <f t="shared" si="15"/>
        <v>1.4579150579150579</v>
      </c>
      <c r="K40" s="323">
        <f t="shared" si="15"/>
        <v>1.4579150579150579</v>
      </c>
      <c r="L40" s="323">
        <f t="shared" si="15"/>
        <v>1.4579150579150579</v>
      </c>
      <c r="M40" s="323">
        <f t="shared" si="15"/>
        <v>1.4579150579150579</v>
      </c>
      <c r="N40" s="323">
        <f t="shared" si="15"/>
        <v>1.4579150579150579</v>
      </c>
      <c r="O40" s="232"/>
      <c r="P40" s="232"/>
      <c r="Q40" s="232"/>
      <c r="R40" s="232"/>
      <c r="S40" s="232"/>
      <c r="T40" s="232"/>
      <c r="U40" s="232"/>
      <c r="V40" s="232"/>
      <c r="W40" s="232"/>
      <c r="X40" s="232"/>
      <c r="Y40" s="232"/>
      <c r="Z40" s="232"/>
      <c r="AA40" s="232"/>
      <c r="AB40" s="232"/>
      <c r="AC40" s="233"/>
      <c r="AD40" s="224"/>
      <c r="AE40" s="224"/>
    </row>
    <row r="41" spans="1:31" s="225" customFormat="1" ht="12.75" x14ac:dyDescent="0.2">
      <c r="A41" s="240" t="s">
        <v>125</v>
      </c>
      <c r="B41" s="323">
        <f t="shared" ref="B41:N41" si="16">IF($B146&gt;=0.9, B$36,B$36*$B146)</f>
        <v>3.8170742170742167</v>
      </c>
      <c r="C41" s="323">
        <f t="shared" si="16"/>
        <v>3.8170742170742167</v>
      </c>
      <c r="D41" s="323">
        <f t="shared" si="16"/>
        <v>3.8170742170742167</v>
      </c>
      <c r="E41" s="323">
        <f t="shared" si="16"/>
        <v>3.8170742170742167</v>
      </c>
      <c r="F41" s="323">
        <f t="shared" si="16"/>
        <v>3.8170742170742167</v>
      </c>
      <c r="G41" s="323">
        <f t="shared" si="16"/>
        <v>3.8170742170742167</v>
      </c>
      <c r="H41" s="323">
        <f t="shared" si="16"/>
        <v>3.8170742170742167</v>
      </c>
      <c r="I41" s="323">
        <f t="shared" si="16"/>
        <v>3.8170742170742167</v>
      </c>
      <c r="J41" s="323">
        <f t="shared" si="16"/>
        <v>3.8170742170742167</v>
      </c>
      <c r="K41" s="323">
        <f t="shared" si="16"/>
        <v>3.8170742170742167</v>
      </c>
      <c r="L41" s="323">
        <f t="shared" si="16"/>
        <v>3.8170742170742167</v>
      </c>
      <c r="M41" s="323">
        <f t="shared" si="16"/>
        <v>3.8170742170742167</v>
      </c>
      <c r="N41" s="323">
        <f t="shared" si="16"/>
        <v>3.8170742170742167</v>
      </c>
      <c r="O41" s="232"/>
      <c r="P41" s="232"/>
      <c r="Q41" s="232"/>
      <c r="R41" s="232"/>
      <c r="S41" s="232"/>
      <c r="T41" s="232"/>
      <c r="U41" s="232"/>
      <c r="V41" s="232"/>
      <c r="W41" s="232"/>
      <c r="X41" s="232"/>
      <c r="Y41" s="232"/>
      <c r="Z41" s="232"/>
      <c r="AA41" s="232"/>
      <c r="AB41" s="232"/>
      <c r="AC41" s="233"/>
      <c r="AD41" s="224"/>
      <c r="AE41" s="224"/>
    </row>
    <row r="42" spans="1:31" s="225" customFormat="1" ht="12.75" x14ac:dyDescent="0.2">
      <c r="A42" s="240" t="s">
        <v>126</v>
      </c>
      <c r="B42" s="323">
        <f t="shared" ref="B42:N42" si="17">IF($B147&gt;=0.9, B$36,B$36*$B147)</f>
        <v>6.584641784641784</v>
      </c>
      <c r="C42" s="323">
        <f t="shared" si="17"/>
        <v>6.584641784641784</v>
      </c>
      <c r="D42" s="323">
        <f t="shared" si="17"/>
        <v>6.584641784641784</v>
      </c>
      <c r="E42" s="323">
        <f t="shared" si="17"/>
        <v>6.584641784641784</v>
      </c>
      <c r="F42" s="323">
        <f t="shared" si="17"/>
        <v>6.584641784641784</v>
      </c>
      <c r="G42" s="323">
        <f t="shared" si="17"/>
        <v>6.584641784641784</v>
      </c>
      <c r="H42" s="323">
        <f t="shared" si="17"/>
        <v>6.584641784641784</v>
      </c>
      <c r="I42" s="323">
        <f t="shared" si="17"/>
        <v>6.584641784641784</v>
      </c>
      <c r="J42" s="323">
        <f t="shared" si="17"/>
        <v>6.584641784641784</v>
      </c>
      <c r="K42" s="323">
        <f t="shared" si="17"/>
        <v>6.584641784641784</v>
      </c>
      <c r="L42" s="323">
        <f t="shared" si="17"/>
        <v>6.584641784641784</v>
      </c>
      <c r="M42" s="323">
        <f t="shared" si="17"/>
        <v>6.584641784641784</v>
      </c>
      <c r="N42" s="323">
        <f t="shared" si="17"/>
        <v>6.584641784641784</v>
      </c>
      <c r="O42" s="232"/>
      <c r="P42" s="232"/>
      <c r="Q42" s="232"/>
      <c r="R42" s="232"/>
      <c r="S42" s="232"/>
      <c r="T42" s="232"/>
      <c r="U42" s="232"/>
      <c r="V42" s="232"/>
      <c r="W42" s="232"/>
      <c r="X42" s="232"/>
      <c r="Y42" s="232"/>
      <c r="Z42" s="232"/>
      <c r="AA42" s="232"/>
      <c r="AB42" s="232"/>
      <c r="AC42" s="233"/>
      <c r="AD42" s="224"/>
      <c r="AE42" s="224"/>
    </row>
    <row r="43" spans="1:31" s="225" customFormat="1" ht="12.75" x14ac:dyDescent="0.2">
      <c r="A43" s="240" t="s">
        <v>127</v>
      </c>
      <c r="B43" s="323">
        <f t="shared" ref="B43:N43" si="18">IF($B148&gt;=0.9, B$36,B$36*$B148)</f>
        <v>6.6958386958386953</v>
      </c>
      <c r="C43" s="323">
        <f t="shared" si="18"/>
        <v>6.6958386958386953</v>
      </c>
      <c r="D43" s="323">
        <f t="shared" si="18"/>
        <v>6.6958386958386953</v>
      </c>
      <c r="E43" s="323">
        <f t="shared" si="18"/>
        <v>6.6958386958386953</v>
      </c>
      <c r="F43" s="323">
        <f t="shared" si="18"/>
        <v>6.6958386958386953</v>
      </c>
      <c r="G43" s="323">
        <f t="shared" si="18"/>
        <v>6.6958386958386953</v>
      </c>
      <c r="H43" s="323">
        <f t="shared" si="18"/>
        <v>6.6958386958386953</v>
      </c>
      <c r="I43" s="323">
        <f t="shared" si="18"/>
        <v>6.6958386958386953</v>
      </c>
      <c r="J43" s="323">
        <f t="shared" si="18"/>
        <v>6.6958386958386953</v>
      </c>
      <c r="K43" s="323">
        <f t="shared" si="18"/>
        <v>6.6958386958386953</v>
      </c>
      <c r="L43" s="323">
        <f t="shared" si="18"/>
        <v>6.6958386958386953</v>
      </c>
      <c r="M43" s="323">
        <f t="shared" si="18"/>
        <v>6.6958386958386953</v>
      </c>
      <c r="N43" s="323">
        <f t="shared" si="18"/>
        <v>6.6958386958386953</v>
      </c>
      <c r="O43" s="232"/>
      <c r="P43" s="232"/>
      <c r="Q43" s="232"/>
      <c r="R43" s="232"/>
      <c r="S43" s="232"/>
      <c r="T43" s="232"/>
      <c r="U43" s="232"/>
      <c r="V43" s="232"/>
      <c r="W43" s="232"/>
      <c r="X43" s="232"/>
      <c r="Y43" s="232"/>
      <c r="Z43" s="232"/>
      <c r="AA43" s="232"/>
      <c r="AB43" s="232"/>
      <c r="AC43" s="233"/>
      <c r="AD43" s="224"/>
      <c r="AE43" s="224"/>
    </row>
    <row r="44" spans="1:31" s="225" customFormat="1" ht="12.75" x14ac:dyDescent="0.2">
      <c r="A44" s="240" t="s">
        <v>128</v>
      </c>
      <c r="B44" s="323">
        <f t="shared" ref="B44:N44" si="19">IF($B149&gt;=0.9, B$36,B$36*$B149)</f>
        <v>6.6958386958386953</v>
      </c>
      <c r="C44" s="323">
        <f t="shared" si="19"/>
        <v>6.6958386958386953</v>
      </c>
      <c r="D44" s="323">
        <f t="shared" si="19"/>
        <v>6.6958386958386953</v>
      </c>
      <c r="E44" s="323">
        <f t="shared" si="19"/>
        <v>6.6958386958386953</v>
      </c>
      <c r="F44" s="323">
        <f t="shared" si="19"/>
        <v>6.6958386958386953</v>
      </c>
      <c r="G44" s="323">
        <f t="shared" si="19"/>
        <v>6.6958386958386953</v>
      </c>
      <c r="H44" s="323">
        <f t="shared" si="19"/>
        <v>6.6958386958386953</v>
      </c>
      <c r="I44" s="323">
        <f t="shared" si="19"/>
        <v>6.6958386958386953</v>
      </c>
      <c r="J44" s="323">
        <f t="shared" si="19"/>
        <v>6.6958386958386953</v>
      </c>
      <c r="K44" s="323">
        <f t="shared" si="19"/>
        <v>6.6958386958386953</v>
      </c>
      <c r="L44" s="323">
        <f t="shared" si="19"/>
        <v>6.6958386958386953</v>
      </c>
      <c r="M44" s="323">
        <f t="shared" si="19"/>
        <v>6.6958386958386953</v>
      </c>
      <c r="N44" s="323">
        <f t="shared" si="19"/>
        <v>6.6958386958386953</v>
      </c>
      <c r="O44" s="232"/>
      <c r="P44" s="232"/>
      <c r="Q44" s="232"/>
      <c r="R44" s="232"/>
      <c r="S44" s="232"/>
      <c r="T44" s="232"/>
      <c r="U44" s="232"/>
      <c r="V44" s="232"/>
      <c r="W44" s="232"/>
      <c r="X44" s="232"/>
      <c r="Y44" s="232"/>
      <c r="Z44" s="232"/>
      <c r="AA44" s="232"/>
      <c r="AB44" s="232"/>
      <c r="AC44" s="233"/>
      <c r="AD44" s="224"/>
      <c r="AE44" s="224"/>
    </row>
    <row r="45" spans="1:31" s="225" customFormat="1" ht="12.75" x14ac:dyDescent="0.2">
      <c r="A45" s="240" t="s">
        <v>129</v>
      </c>
      <c r="B45" s="323">
        <f>IF(B$13="Deploy",B$36,IF($B150&gt;=0.9, B$36,B$36*$B150))</f>
        <v>9.6</v>
      </c>
      <c r="C45" s="323">
        <f t="shared" ref="C45:N45" si="20">IF(C$13="Deploy",C$36,IF($B150&gt;=0.9, C$36,C$36*$B150))</f>
        <v>9.6</v>
      </c>
      <c r="D45" s="323">
        <f t="shared" si="20"/>
        <v>3.3551265551265548</v>
      </c>
      <c r="E45" s="323">
        <f t="shared" si="20"/>
        <v>3.3551265551265548</v>
      </c>
      <c r="F45" s="323">
        <f t="shared" si="20"/>
        <v>3.3551265551265548</v>
      </c>
      <c r="G45" s="323">
        <f t="shared" si="20"/>
        <v>9.6</v>
      </c>
      <c r="H45" s="323">
        <f t="shared" si="20"/>
        <v>9.6</v>
      </c>
      <c r="I45" s="323">
        <f t="shared" si="20"/>
        <v>9.6</v>
      </c>
      <c r="J45" s="323">
        <f t="shared" si="20"/>
        <v>3.3551265551265548</v>
      </c>
      <c r="K45" s="323">
        <f t="shared" si="20"/>
        <v>3.3551265551265548</v>
      </c>
      <c r="L45" s="323">
        <f t="shared" si="20"/>
        <v>3.3551265551265548</v>
      </c>
      <c r="M45" s="323">
        <f t="shared" si="20"/>
        <v>3.3551265551265548</v>
      </c>
      <c r="N45" s="323">
        <f t="shared" si="20"/>
        <v>3.3551265551265548</v>
      </c>
      <c r="O45" s="232"/>
      <c r="P45" s="232"/>
      <c r="Q45" s="232"/>
      <c r="R45" s="232"/>
      <c r="S45" s="232"/>
      <c r="T45" s="232"/>
      <c r="U45" s="232"/>
      <c r="V45" s="232"/>
      <c r="W45" s="232"/>
      <c r="X45" s="232"/>
      <c r="Y45" s="232"/>
      <c r="Z45" s="232"/>
      <c r="AA45" s="232"/>
      <c r="AB45" s="232"/>
      <c r="AC45" s="233"/>
      <c r="AD45" s="224"/>
      <c r="AE45" s="224"/>
    </row>
    <row r="46" spans="1:31" s="225" customFormat="1" ht="12.75" x14ac:dyDescent="0.2">
      <c r="A46" s="240" t="s">
        <v>130</v>
      </c>
      <c r="B46" s="323">
        <f t="shared" ref="B46:N46" si="21">IF($B151&gt;=0.9, B$36,B$36*$B151)</f>
        <v>7.1468039468039457</v>
      </c>
      <c r="C46" s="323">
        <f t="shared" si="21"/>
        <v>7.1468039468039457</v>
      </c>
      <c r="D46" s="323">
        <f t="shared" si="21"/>
        <v>7.1468039468039457</v>
      </c>
      <c r="E46" s="323">
        <f t="shared" si="21"/>
        <v>7.1468039468039457</v>
      </c>
      <c r="F46" s="323">
        <f t="shared" si="21"/>
        <v>7.1468039468039457</v>
      </c>
      <c r="G46" s="323">
        <f t="shared" si="21"/>
        <v>7.1468039468039457</v>
      </c>
      <c r="H46" s="323">
        <f t="shared" si="21"/>
        <v>7.1468039468039457</v>
      </c>
      <c r="I46" s="323">
        <f t="shared" si="21"/>
        <v>7.1468039468039457</v>
      </c>
      <c r="J46" s="323">
        <f t="shared" si="21"/>
        <v>7.1468039468039457</v>
      </c>
      <c r="K46" s="323">
        <f t="shared" si="21"/>
        <v>7.1468039468039457</v>
      </c>
      <c r="L46" s="323">
        <f t="shared" si="21"/>
        <v>7.1468039468039457</v>
      </c>
      <c r="M46" s="323">
        <f t="shared" si="21"/>
        <v>7.1468039468039457</v>
      </c>
      <c r="N46" s="323">
        <f t="shared" si="21"/>
        <v>7.1468039468039457</v>
      </c>
      <c r="O46" s="232"/>
      <c r="P46" s="232"/>
      <c r="Q46" s="232"/>
      <c r="R46" s="232"/>
      <c r="S46" s="232"/>
      <c r="T46" s="232"/>
      <c r="U46" s="232"/>
      <c r="V46" s="232"/>
      <c r="W46" s="232"/>
      <c r="X46" s="232"/>
      <c r="Y46" s="232"/>
      <c r="Z46" s="232"/>
      <c r="AA46" s="232"/>
      <c r="AB46" s="232"/>
      <c r="AC46" s="233"/>
      <c r="AD46" s="224"/>
      <c r="AE46" s="224"/>
    </row>
    <row r="47" spans="1:31" s="225" customFormat="1" ht="12.75" x14ac:dyDescent="0.2">
      <c r="A47" s="240" t="s">
        <v>131</v>
      </c>
      <c r="B47" s="323">
        <f>IF(B$13="Deploy",B$36,IF($B152&gt;=0.9, B$36,B$36*$B152))</f>
        <v>9.6</v>
      </c>
      <c r="C47" s="323">
        <f t="shared" ref="C47:N47" si="22">IF(C$13="Deploy",C$36,IF($B152&gt;=0.9, C$36,C$36*$B152))</f>
        <v>9.6</v>
      </c>
      <c r="D47" s="323">
        <f t="shared" si="22"/>
        <v>3.1296439296439296</v>
      </c>
      <c r="E47" s="323">
        <f t="shared" si="22"/>
        <v>3.1296439296439296</v>
      </c>
      <c r="F47" s="323">
        <f t="shared" si="22"/>
        <v>3.1296439296439296</v>
      </c>
      <c r="G47" s="323">
        <f t="shared" si="22"/>
        <v>9.6</v>
      </c>
      <c r="H47" s="323">
        <f t="shared" si="22"/>
        <v>9.6</v>
      </c>
      <c r="I47" s="323">
        <f t="shared" si="22"/>
        <v>9.6</v>
      </c>
      <c r="J47" s="323">
        <f t="shared" si="22"/>
        <v>3.1296439296439296</v>
      </c>
      <c r="K47" s="323">
        <f t="shared" si="22"/>
        <v>3.1296439296439296</v>
      </c>
      <c r="L47" s="323">
        <f t="shared" si="22"/>
        <v>3.1296439296439296</v>
      </c>
      <c r="M47" s="323">
        <f t="shared" si="22"/>
        <v>3.1296439296439296</v>
      </c>
      <c r="N47" s="323">
        <f t="shared" si="22"/>
        <v>3.1296439296439296</v>
      </c>
      <c r="O47" s="232"/>
      <c r="P47" s="232"/>
      <c r="Q47" s="232"/>
      <c r="R47" s="232"/>
      <c r="S47" s="232"/>
      <c r="T47" s="232"/>
      <c r="U47" s="232"/>
      <c r="V47" s="232"/>
      <c r="W47" s="232"/>
      <c r="X47" s="232"/>
      <c r="Y47" s="232"/>
      <c r="Z47" s="232"/>
      <c r="AA47" s="232"/>
      <c r="AB47" s="232"/>
      <c r="AC47" s="233"/>
      <c r="AD47" s="224"/>
      <c r="AE47" s="224"/>
    </row>
    <row r="48" spans="1:31" s="225" customFormat="1" ht="12.75" x14ac:dyDescent="0.2">
      <c r="A48" s="240" t="s">
        <v>132</v>
      </c>
      <c r="B48" s="323">
        <f t="shared" ref="B48:N48" si="23">IF($B153&gt;=0.9, B$36,B$36*$B153)</f>
        <v>9.6</v>
      </c>
      <c r="C48" s="323">
        <f t="shared" si="23"/>
        <v>9.6</v>
      </c>
      <c r="D48" s="323">
        <f t="shared" si="23"/>
        <v>9.6</v>
      </c>
      <c r="E48" s="323">
        <f t="shared" si="23"/>
        <v>9.6</v>
      </c>
      <c r="F48" s="323">
        <f t="shared" si="23"/>
        <v>9.6</v>
      </c>
      <c r="G48" s="323">
        <f t="shared" si="23"/>
        <v>9.6</v>
      </c>
      <c r="H48" s="323">
        <f t="shared" si="23"/>
        <v>9.6</v>
      </c>
      <c r="I48" s="323">
        <f t="shared" si="23"/>
        <v>9.6</v>
      </c>
      <c r="J48" s="323">
        <f t="shared" si="23"/>
        <v>9.6</v>
      </c>
      <c r="K48" s="323">
        <f t="shared" si="23"/>
        <v>9.6</v>
      </c>
      <c r="L48" s="323">
        <f t="shared" si="23"/>
        <v>9.6</v>
      </c>
      <c r="M48" s="323">
        <f t="shared" si="23"/>
        <v>9.6</v>
      </c>
      <c r="N48" s="323">
        <f t="shared" si="23"/>
        <v>9.6</v>
      </c>
      <c r="O48" s="232"/>
      <c r="P48" s="232"/>
      <c r="Q48" s="232"/>
      <c r="R48" s="232"/>
      <c r="S48" s="232"/>
      <c r="T48" s="232"/>
      <c r="U48" s="232"/>
      <c r="V48" s="232"/>
      <c r="W48" s="232"/>
      <c r="X48" s="232"/>
      <c r="Y48" s="232"/>
      <c r="Z48" s="232"/>
      <c r="AA48" s="232"/>
      <c r="AB48" s="232"/>
      <c r="AC48" s="233"/>
      <c r="AD48" s="224"/>
      <c r="AE48" s="224"/>
    </row>
    <row r="49" spans="1:31" s="225" customFormat="1" ht="12.75" x14ac:dyDescent="0.2">
      <c r="A49" s="226" t="s">
        <v>133</v>
      </c>
      <c r="B49" s="227"/>
      <c r="C49" s="228"/>
      <c r="D49" s="228"/>
      <c r="E49" s="228"/>
      <c r="F49" s="228"/>
      <c r="G49" s="228"/>
      <c r="H49" s="228"/>
      <c r="I49" s="228"/>
      <c r="J49" s="229"/>
      <c r="K49" s="229"/>
      <c r="L49" s="228"/>
      <c r="M49" s="228"/>
      <c r="N49" s="230"/>
      <c r="O49" s="239"/>
      <c r="P49" s="237"/>
      <c r="Q49" s="238"/>
      <c r="R49" s="236"/>
      <c r="S49" s="236"/>
      <c r="T49" s="236"/>
      <c r="U49" s="236"/>
      <c r="V49" s="236"/>
      <c r="W49" s="236"/>
      <c r="X49" s="236"/>
      <c r="Y49" s="236"/>
      <c r="Z49" s="236"/>
      <c r="AA49" s="236"/>
      <c r="AB49" s="236"/>
      <c r="AC49" s="236"/>
      <c r="AD49" s="235"/>
      <c r="AE49" s="224"/>
    </row>
    <row r="50" spans="1:31" x14ac:dyDescent="0.2">
      <c r="A50" s="296" t="s">
        <v>134</v>
      </c>
      <c r="B50" s="67">
        <v>9</v>
      </c>
      <c r="C50" s="67">
        <v>9</v>
      </c>
      <c r="D50" s="67">
        <v>9</v>
      </c>
      <c r="E50" s="67">
        <v>9</v>
      </c>
      <c r="F50" s="67">
        <v>9</v>
      </c>
      <c r="G50" s="67">
        <v>9</v>
      </c>
      <c r="H50" s="67">
        <v>9</v>
      </c>
      <c r="I50" s="67">
        <v>9</v>
      </c>
      <c r="J50" s="67">
        <v>9</v>
      </c>
      <c r="K50" s="67">
        <v>9</v>
      </c>
      <c r="L50" s="67">
        <v>9</v>
      </c>
      <c r="M50" s="67">
        <v>9</v>
      </c>
      <c r="N50" s="67">
        <v>9</v>
      </c>
    </row>
    <row r="51" spans="1:31" x14ac:dyDescent="0.2">
      <c r="A51" s="66" t="s">
        <v>135</v>
      </c>
      <c r="B51" s="67">
        <f t="shared" ref="B51:N51" si="24">ROUND(1*B50,2)</f>
        <v>9</v>
      </c>
      <c r="C51" s="67">
        <f t="shared" si="24"/>
        <v>9</v>
      </c>
      <c r="D51" s="67">
        <f t="shared" si="24"/>
        <v>9</v>
      </c>
      <c r="E51" s="67">
        <f t="shared" si="24"/>
        <v>9</v>
      </c>
      <c r="F51" s="67">
        <f t="shared" si="24"/>
        <v>9</v>
      </c>
      <c r="G51" s="67">
        <f t="shared" si="24"/>
        <v>9</v>
      </c>
      <c r="H51" s="67">
        <f t="shared" si="24"/>
        <v>9</v>
      </c>
      <c r="I51" s="67">
        <f t="shared" si="24"/>
        <v>9</v>
      </c>
      <c r="J51" s="67">
        <f t="shared" si="24"/>
        <v>9</v>
      </c>
      <c r="K51" s="67">
        <f t="shared" si="24"/>
        <v>9</v>
      </c>
      <c r="L51" s="67">
        <f t="shared" si="24"/>
        <v>9</v>
      </c>
      <c r="M51" s="67">
        <f t="shared" si="24"/>
        <v>9</v>
      </c>
      <c r="N51" s="67">
        <f t="shared" si="24"/>
        <v>9</v>
      </c>
    </row>
    <row r="52" spans="1:31" s="30" customFormat="1" x14ac:dyDescent="0.2">
      <c r="A52" s="90" t="s">
        <v>136</v>
      </c>
      <c r="B52" s="68">
        <v>6</v>
      </c>
      <c r="C52" s="68">
        <v>6</v>
      </c>
      <c r="D52" s="68">
        <v>6</v>
      </c>
      <c r="E52" s="68">
        <v>6</v>
      </c>
      <c r="F52" s="68">
        <v>6</v>
      </c>
      <c r="G52" s="68">
        <v>6</v>
      </c>
      <c r="H52" s="68">
        <v>6</v>
      </c>
      <c r="I52" s="68">
        <v>6</v>
      </c>
      <c r="J52" s="68">
        <v>6</v>
      </c>
      <c r="K52" s="68">
        <v>6</v>
      </c>
      <c r="L52" s="68">
        <v>6</v>
      </c>
      <c r="M52" s="68">
        <v>6</v>
      </c>
      <c r="N52" s="68">
        <v>6</v>
      </c>
    </row>
    <row r="53" spans="1:31" s="30" customFormat="1" x14ac:dyDescent="0.2">
      <c r="A53" s="64" t="s">
        <v>137</v>
      </c>
      <c r="B53" s="65">
        <v>4.5</v>
      </c>
      <c r="C53" s="65">
        <v>4.5</v>
      </c>
      <c r="D53" s="65">
        <v>4.5</v>
      </c>
      <c r="E53" s="65">
        <v>4.5</v>
      </c>
      <c r="F53" s="65">
        <v>4.5</v>
      </c>
      <c r="G53" s="65">
        <v>4.5</v>
      </c>
      <c r="H53" s="65">
        <v>4.5</v>
      </c>
      <c r="I53" s="65">
        <v>4.5</v>
      </c>
      <c r="J53" s="65">
        <v>4.5</v>
      </c>
      <c r="K53" s="65">
        <v>4.5</v>
      </c>
      <c r="L53" s="65">
        <v>4.5</v>
      </c>
      <c r="M53" s="65">
        <v>4.5</v>
      </c>
      <c r="N53" s="65">
        <v>4.5</v>
      </c>
    </row>
    <row r="54" spans="1:31" s="30" customFormat="1" ht="12.75" x14ac:dyDescent="0.2">
      <c r="A54" s="33" t="s">
        <v>138</v>
      </c>
      <c r="B54" s="39"/>
      <c r="C54" s="40"/>
      <c r="D54" s="40"/>
      <c r="E54" s="40"/>
      <c r="F54" s="40"/>
      <c r="G54" s="40"/>
      <c r="H54" s="40"/>
      <c r="I54" s="40"/>
      <c r="J54" s="40"/>
      <c r="K54" s="40"/>
      <c r="L54" s="40"/>
      <c r="M54" s="58"/>
      <c r="N54" s="111"/>
    </row>
    <row r="55" spans="1:31" x14ac:dyDescent="0.2">
      <c r="A55" s="19" t="s">
        <v>139</v>
      </c>
      <c r="B55" s="41">
        <f t="shared" ref="B55:M55" si="25">$B$95</f>
        <v>17</v>
      </c>
      <c r="C55" s="41">
        <f t="shared" si="25"/>
        <v>17</v>
      </c>
      <c r="D55" s="41">
        <f t="shared" si="25"/>
        <v>17</v>
      </c>
      <c r="E55" s="41">
        <f t="shared" si="25"/>
        <v>17</v>
      </c>
      <c r="F55" s="41">
        <f t="shared" si="25"/>
        <v>17</v>
      </c>
      <c r="G55" s="41">
        <f t="shared" si="25"/>
        <v>17</v>
      </c>
      <c r="H55" s="41">
        <f t="shared" si="25"/>
        <v>17</v>
      </c>
      <c r="I55" s="41">
        <f t="shared" si="25"/>
        <v>17</v>
      </c>
      <c r="J55" s="41">
        <f t="shared" si="25"/>
        <v>17</v>
      </c>
      <c r="K55" s="41">
        <f t="shared" si="25"/>
        <v>17</v>
      </c>
      <c r="L55" s="41">
        <f t="shared" si="25"/>
        <v>17</v>
      </c>
      <c r="M55" s="41">
        <f t="shared" si="25"/>
        <v>17</v>
      </c>
      <c r="N55" s="112">
        <f>$B$96</f>
        <v>17</v>
      </c>
    </row>
    <row r="56" spans="1:31" x14ac:dyDescent="0.2">
      <c r="A56" s="42" t="s">
        <v>140</v>
      </c>
      <c r="B56" s="43">
        <f t="shared" ref="B56:M56" si="26">ROUNDUP(IF(B$13="Deploy",MAX((B$89/100)*$B96,$B96),(B$89/100)*$B96),0)</f>
        <v>17</v>
      </c>
      <c r="C56" s="43">
        <f t="shared" si="26"/>
        <v>17</v>
      </c>
      <c r="D56" s="43">
        <f t="shared" si="26"/>
        <v>16</v>
      </c>
      <c r="E56" s="43">
        <f t="shared" si="26"/>
        <v>16</v>
      </c>
      <c r="F56" s="43">
        <f t="shared" si="26"/>
        <v>14</v>
      </c>
      <c r="G56" s="43">
        <f t="shared" si="26"/>
        <v>17</v>
      </c>
      <c r="H56" s="43">
        <f t="shared" si="26"/>
        <v>17</v>
      </c>
      <c r="I56" s="43">
        <f t="shared" si="26"/>
        <v>17</v>
      </c>
      <c r="J56" s="43">
        <f t="shared" si="26"/>
        <v>16</v>
      </c>
      <c r="K56" s="43">
        <f t="shared" si="26"/>
        <v>16</v>
      </c>
      <c r="L56" s="43">
        <f t="shared" si="26"/>
        <v>14</v>
      </c>
      <c r="M56" s="43">
        <f t="shared" si="26"/>
        <v>14</v>
      </c>
      <c r="N56" s="43">
        <f>ROUNDUP(IF(N$13="Deploy",MAX((N$89/100)*$B97,$B97),(N$89/100)*$B97),0)</f>
        <v>7</v>
      </c>
    </row>
    <row r="57" spans="1:31" x14ac:dyDescent="0.2">
      <c r="A57" s="66" t="s">
        <v>141</v>
      </c>
      <c r="B57" s="69">
        <f>B55</f>
        <v>17</v>
      </c>
      <c r="C57" s="69">
        <f t="shared" ref="C57:M58" si="27">C55</f>
        <v>17</v>
      </c>
      <c r="D57" s="69">
        <f t="shared" si="27"/>
        <v>17</v>
      </c>
      <c r="E57" s="69">
        <f t="shared" si="27"/>
        <v>17</v>
      </c>
      <c r="F57" s="69">
        <f t="shared" si="27"/>
        <v>17</v>
      </c>
      <c r="G57" s="69">
        <f t="shared" si="27"/>
        <v>17</v>
      </c>
      <c r="H57" s="69">
        <f t="shared" si="27"/>
        <v>17</v>
      </c>
      <c r="I57" s="69">
        <f t="shared" si="27"/>
        <v>17</v>
      </c>
      <c r="J57" s="69">
        <f t="shared" si="27"/>
        <v>17</v>
      </c>
      <c r="K57" s="69">
        <f t="shared" si="27"/>
        <v>17</v>
      </c>
      <c r="L57" s="69">
        <f t="shared" si="27"/>
        <v>17</v>
      </c>
      <c r="M57" s="69">
        <f t="shared" si="27"/>
        <v>17</v>
      </c>
      <c r="N57" s="69">
        <f>N55</f>
        <v>17</v>
      </c>
    </row>
    <row r="58" spans="1:31" x14ac:dyDescent="0.2">
      <c r="A58" s="78" t="s">
        <v>142</v>
      </c>
      <c r="B58" s="79">
        <f>C58</f>
        <v>16</v>
      </c>
      <c r="C58" s="79">
        <f>D58</f>
        <v>16</v>
      </c>
      <c r="D58" s="79">
        <f t="shared" si="27"/>
        <v>16</v>
      </c>
      <c r="E58" s="79">
        <f t="shared" si="27"/>
        <v>16</v>
      </c>
      <c r="F58" s="79">
        <f t="shared" si="27"/>
        <v>14</v>
      </c>
      <c r="G58" s="79">
        <f t="shared" si="27"/>
        <v>17</v>
      </c>
      <c r="H58" s="79">
        <f t="shared" si="27"/>
        <v>17</v>
      </c>
      <c r="I58" s="79">
        <f t="shared" si="27"/>
        <v>17</v>
      </c>
      <c r="J58" s="79">
        <f t="shared" si="27"/>
        <v>16</v>
      </c>
      <c r="K58" s="79">
        <f t="shared" si="27"/>
        <v>16</v>
      </c>
      <c r="L58" s="79">
        <f t="shared" si="27"/>
        <v>14</v>
      </c>
      <c r="M58" s="79">
        <f t="shared" si="27"/>
        <v>14</v>
      </c>
      <c r="N58" s="79">
        <f>N56</f>
        <v>7</v>
      </c>
    </row>
    <row r="59" spans="1:31" s="21" customFormat="1" x14ac:dyDescent="0.2">
      <c r="A59" s="42" t="str">
        <f t="shared" ref="A59:A74" si="28">A99</f>
        <v>&gt; L4 Pilots</v>
      </c>
      <c r="B59" s="197">
        <f t="shared" ref="B59:N59" si="29">ROUNDUP(IF(B$13="Deploy",MAX((B$89/100)*$B99,$B99),(B$89/100)*$B99),0)</f>
        <v>5</v>
      </c>
      <c r="C59" s="43">
        <f t="shared" si="29"/>
        <v>5</v>
      </c>
      <c r="D59" s="43">
        <f t="shared" si="29"/>
        <v>5</v>
      </c>
      <c r="E59" s="43">
        <f t="shared" si="29"/>
        <v>5</v>
      </c>
      <c r="F59" s="43">
        <f t="shared" si="29"/>
        <v>5</v>
      </c>
      <c r="G59" s="43">
        <f t="shared" si="29"/>
        <v>5</v>
      </c>
      <c r="H59" s="43">
        <f t="shared" si="29"/>
        <v>5</v>
      </c>
      <c r="I59" s="43">
        <f t="shared" si="29"/>
        <v>5</v>
      </c>
      <c r="J59" s="43">
        <f t="shared" si="29"/>
        <v>5</v>
      </c>
      <c r="K59" s="43">
        <f t="shared" si="29"/>
        <v>5</v>
      </c>
      <c r="L59" s="43">
        <f t="shared" si="29"/>
        <v>5</v>
      </c>
      <c r="M59" s="43">
        <f t="shared" si="29"/>
        <v>4</v>
      </c>
      <c r="N59" s="43">
        <f t="shared" si="29"/>
        <v>2</v>
      </c>
    </row>
    <row r="60" spans="1:31" x14ac:dyDescent="0.2">
      <c r="A60" s="42" t="str">
        <f t="shared" si="28"/>
        <v>&gt; L3 Pilots</v>
      </c>
      <c r="B60" s="197">
        <f t="shared" ref="B60:N60" si="30">ROUNDUP(IF(B$13="Deploy",MAX((B$89/100)*$B100,$B100),(B$89/100)*$B100),0)</f>
        <v>7</v>
      </c>
      <c r="C60" s="43">
        <f t="shared" si="30"/>
        <v>7</v>
      </c>
      <c r="D60" s="43">
        <f t="shared" si="30"/>
        <v>7</v>
      </c>
      <c r="E60" s="43">
        <f t="shared" si="30"/>
        <v>7</v>
      </c>
      <c r="F60" s="43">
        <f t="shared" si="30"/>
        <v>6</v>
      </c>
      <c r="G60" s="43">
        <f t="shared" si="30"/>
        <v>7</v>
      </c>
      <c r="H60" s="43">
        <f t="shared" si="30"/>
        <v>7</v>
      </c>
      <c r="I60" s="43">
        <f t="shared" si="30"/>
        <v>7</v>
      </c>
      <c r="J60" s="43">
        <f t="shared" si="30"/>
        <v>7</v>
      </c>
      <c r="K60" s="43">
        <f t="shared" si="30"/>
        <v>7</v>
      </c>
      <c r="L60" s="43">
        <f t="shared" si="30"/>
        <v>6</v>
      </c>
      <c r="M60" s="43">
        <f t="shared" si="30"/>
        <v>6</v>
      </c>
      <c r="N60" s="43">
        <f t="shared" si="30"/>
        <v>3</v>
      </c>
    </row>
    <row r="61" spans="1:31" x14ac:dyDescent="0.2">
      <c r="A61" s="42" t="str">
        <f t="shared" si="28"/>
        <v>&gt; L2 Pilots</v>
      </c>
      <c r="B61" s="197">
        <f t="shared" ref="B61:N61" si="31">ROUNDUP(IF(B$13="Deploy",MAX((B$89/100)*$B101,$B101),(B$89/100)*$B101),0)</f>
        <v>12</v>
      </c>
      <c r="C61" s="43">
        <f t="shared" si="31"/>
        <v>12</v>
      </c>
      <c r="D61" s="43">
        <f t="shared" si="31"/>
        <v>12</v>
      </c>
      <c r="E61" s="43">
        <f t="shared" si="31"/>
        <v>12</v>
      </c>
      <c r="F61" s="43">
        <f t="shared" si="31"/>
        <v>10</v>
      </c>
      <c r="G61" s="43">
        <f t="shared" si="31"/>
        <v>12</v>
      </c>
      <c r="H61" s="43">
        <f t="shared" si="31"/>
        <v>12</v>
      </c>
      <c r="I61" s="43">
        <f t="shared" si="31"/>
        <v>12</v>
      </c>
      <c r="J61" s="43">
        <f t="shared" si="31"/>
        <v>12</v>
      </c>
      <c r="K61" s="43">
        <f t="shared" si="31"/>
        <v>12</v>
      </c>
      <c r="L61" s="43">
        <f t="shared" si="31"/>
        <v>10</v>
      </c>
      <c r="M61" s="43">
        <f t="shared" si="31"/>
        <v>10</v>
      </c>
      <c r="N61" s="43">
        <f t="shared" si="31"/>
        <v>5</v>
      </c>
    </row>
    <row r="62" spans="1:31" x14ac:dyDescent="0.2">
      <c r="A62" s="42" t="str">
        <f t="shared" si="28"/>
        <v>&gt; L1 Pilots</v>
      </c>
      <c r="B62" s="197">
        <f t="shared" ref="B62:N62" si="32">ROUNDUP(IF(B$13="Deploy",MAX((B$89/100)*$B102,$B102),(B$89/100)*$B102),0)</f>
        <v>17</v>
      </c>
      <c r="C62" s="43">
        <f t="shared" si="32"/>
        <v>17</v>
      </c>
      <c r="D62" s="43">
        <f t="shared" si="32"/>
        <v>16</v>
      </c>
      <c r="E62" s="43">
        <f t="shared" si="32"/>
        <v>16</v>
      </c>
      <c r="F62" s="43">
        <f t="shared" si="32"/>
        <v>14</v>
      </c>
      <c r="G62" s="43">
        <f t="shared" si="32"/>
        <v>17</v>
      </c>
      <c r="H62" s="43">
        <f t="shared" si="32"/>
        <v>17</v>
      </c>
      <c r="I62" s="43">
        <f t="shared" si="32"/>
        <v>17</v>
      </c>
      <c r="J62" s="43">
        <f t="shared" si="32"/>
        <v>16</v>
      </c>
      <c r="K62" s="43">
        <f t="shared" si="32"/>
        <v>16</v>
      </c>
      <c r="L62" s="43">
        <f t="shared" si="32"/>
        <v>14</v>
      </c>
      <c r="M62" s="43">
        <f t="shared" si="32"/>
        <v>14</v>
      </c>
      <c r="N62" s="43">
        <f t="shared" si="32"/>
        <v>7</v>
      </c>
    </row>
    <row r="63" spans="1:31" x14ac:dyDescent="0.2">
      <c r="A63" s="42" t="str">
        <f t="shared" si="28"/>
        <v>&gt; L4 WSO</v>
      </c>
      <c r="B63" s="197">
        <f t="shared" ref="B63:N63" si="33">ROUNDUP(IF(B$13="Deploy",MAX((B$89/100)*$B103,$B103),(B$89/100)*$B103),0)</f>
        <v>5</v>
      </c>
      <c r="C63" s="43">
        <f t="shared" si="33"/>
        <v>5</v>
      </c>
      <c r="D63" s="43">
        <f t="shared" si="33"/>
        <v>5</v>
      </c>
      <c r="E63" s="43">
        <f t="shared" si="33"/>
        <v>5</v>
      </c>
      <c r="F63" s="43">
        <f t="shared" si="33"/>
        <v>5</v>
      </c>
      <c r="G63" s="43">
        <f t="shared" si="33"/>
        <v>5</v>
      </c>
      <c r="H63" s="43">
        <f t="shared" si="33"/>
        <v>5</v>
      </c>
      <c r="I63" s="43">
        <f t="shared" si="33"/>
        <v>5</v>
      </c>
      <c r="J63" s="43">
        <f t="shared" si="33"/>
        <v>5</v>
      </c>
      <c r="K63" s="43">
        <f t="shared" si="33"/>
        <v>5</v>
      </c>
      <c r="L63" s="43">
        <f t="shared" si="33"/>
        <v>5</v>
      </c>
      <c r="M63" s="43">
        <f t="shared" si="33"/>
        <v>4</v>
      </c>
      <c r="N63" s="43">
        <f t="shared" si="33"/>
        <v>2</v>
      </c>
    </row>
    <row r="64" spans="1:31" x14ac:dyDescent="0.2">
      <c r="A64" s="42" t="str">
        <f t="shared" si="28"/>
        <v>&gt; L3 WSO</v>
      </c>
      <c r="B64" s="197">
        <f t="shared" ref="B64:N64" si="34">ROUNDUP(IF(B$13="Deploy",MAX((B$89/100)*$B104,$B104),(B$89/100)*$B104),0)</f>
        <v>7</v>
      </c>
      <c r="C64" s="43">
        <f t="shared" si="34"/>
        <v>7</v>
      </c>
      <c r="D64" s="43">
        <f t="shared" si="34"/>
        <v>7</v>
      </c>
      <c r="E64" s="43">
        <f t="shared" si="34"/>
        <v>7</v>
      </c>
      <c r="F64" s="43">
        <f t="shared" si="34"/>
        <v>6</v>
      </c>
      <c r="G64" s="43">
        <f t="shared" si="34"/>
        <v>7</v>
      </c>
      <c r="H64" s="43">
        <f t="shared" si="34"/>
        <v>7</v>
      </c>
      <c r="I64" s="43">
        <f t="shared" si="34"/>
        <v>7</v>
      </c>
      <c r="J64" s="43">
        <f t="shared" si="34"/>
        <v>7</v>
      </c>
      <c r="K64" s="43">
        <f t="shared" si="34"/>
        <v>7</v>
      </c>
      <c r="L64" s="43">
        <f t="shared" si="34"/>
        <v>6</v>
      </c>
      <c r="M64" s="43">
        <f t="shared" si="34"/>
        <v>6</v>
      </c>
      <c r="N64" s="43">
        <f t="shared" si="34"/>
        <v>3</v>
      </c>
    </row>
    <row r="65" spans="1:14" x14ac:dyDescent="0.2">
      <c r="A65" s="42" t="str">
        <f t="shared" si="28"/>
        <v>&gt; L2 WSO</v>
      </c>
      <c r="B65" s="197">
        <f t="shared" ref="B65:N65" si="35">ROUNDUP(IF(B$13="Deploy",MAX((B$89/100)*$B105,$B105),(B$89/100)*$B105),0)</f>
        <v>12</v>
      </c>
      <c r="C65" s="43">
        <f t="shared" si="35"/>
        <v>12</v>
      </c>
      <c r="D65" s="43">
        <f t="shared" si="35"/>
        <v>12</v>
      </c>
      <c r="E65" s="43">
        <f t="shared" si="35"/>
        <v>12</v>
      </c>
      <c r="F65" s="43">
        <f t="shared" si="35"/>
        <v>10</v>
      </c>
      <c r="G65" s="43">
        <f t="shared" si="35"/>
        <v>12</v>
      </c>
      <c r="H65" s="43">
        <f t="shared" si="35"/>
        <v>12</v>
      </c>
      <c r="I65" s="43">
        <f t="shared" si="35"/>
        <v>12</v>
      </c>
      <c r="J65" s="43">
        <f t="shared" si="35"/>
        <v>12</v>
      </c>
      <c r="K65" s="43">
        <f t="shared" si="35"/>
        <v>12</v>
      </c>
      <c r="L65" s="43">
        <f t="shared" si="35"/>
        <v>10</v>
      </c>
      <c r="M65" s="43">
        <f t="shared" si="35"/>
        <v>10</v>
      </c>
      <c r="N65" s="43">
        <f t="shared" si="35"/>
        <v>5</v>
      </c>
    </row>
    <row r="66" spans="1:14" x14ac:dyDescent="0.2">
      <c r="A66" s="42" t="str">
        <f t="shared" si="28"/>
        <v>&gt; L1 WSO</v>
      </c>
      <c r="B66" s="197">
        <f t="shared" ref="B66:N66" si="36">ROUNDUP(IF(B$13="Deploy",MAX((B$89/100)*$B106,$B106),(B$89/100)*$B106),0)</f>
        <v>17</v>
      </c>
      <c r="C66" s="43">
        <f t="shared" si="36"/>
        <v>17</v>
      </c>
      <c r="D66" s="43">
        <f t="shared" si="36"/>
        <v>16</v>
      </c>
      <c r="E66" s="43">
        <f t="shared" si="36"/>
        <v>16</v>
      </c>
      <c r="F66" s="43">
        <f t="shared" si="36"/>
        <v>14</v>
      </c>
      <c r="G66" s="43">
        <f t="shared" si="36"/>
        <v>17</v>
      </c>
      <c r="H66" s="43">
        <f t="shared" si="36"/>
        <v>17</v>
      </c>
      <c r="I66" s="43">
        <f t="shared" si="36"/>
        <v>17</v>
      </c>
      <c r="J66" s="43">
        <f t="shared" si="36"/>
        <v>16</v>
      </c>
      <c r="K66" s="43">
        <f t="shared" si="36"/>
        <v>16</v>
      </c>
      <c r="L66" s="43">
        <f t="shared" si="36"/>
        <v>14</v>
      </c>
      <c r="M66" s="43">
        <f t="shared" si="36"/>
        <v>14</v>
      </c>
      <c r="N66" s="43">
        <f t="shared" si="36"/>
        <v>7</v>
      </c>
    </row>
    <row r="67" spans="1:14" x14ac:dyDescent="0.2">
      <c r="A67" s="42" t="str">
        <f t="shared" si="28"/>
        <v>NVG Qual - Pilot</v>
      </c>
      <c r="B67" s="197">
        <f t="shared" ref="B67:M67" si="37">ROUNDUP(IF(B$13="Deploy",MAX((B$89/100)*$B107,$B107),(B$89/100)*$B107),0)</f>
        <v>12</v>
      </c>
      <c r="C67" s="43">
        <f t="shared" si="37"/>
        <v>12</v>
      </c>
      <c r="D67" s="43">
        <f t="shared" si="37"/>
        <v>12</v>
      </c>
      <c r="E67" s="43">
        <f t="shared" si="37"/>
        <v>12</v>
      </c>
      <c r="F67" s="43">
        <f t="shared" si="37"/>
        <v>10</v>
      </c>
      <c r="G67" s="43">
        <f t="shared" si="37"/>
        <v>12</v>
      </c>
      <c r="H67" s="43">
        <f t="shared" si="37"/>
        <v>12</v>
      </c>
      <c r="I67" s="43">
        <f t="shared" si="37"/>
        <v>12</v>
      </c>
      <c r="J67" s="43">
        <f t="shared" si="37"/>
        <v>12</v>
      </c>
      <c r="K67" s="43">
        <f t="shared" si="37"/>
        <v>12</v>
      </c>
      <c r="L67" s="43">
        <f t="shared" si="37"/>
        <v>10</v>
      </c>
      <c r="M67" s="43">
        <f t="shared" si="37"/>
        <v>10</v>
      </c>
      <c r="N67" s="43">
        <v>0</v>
      </c>
    </row>
    <row r="68" spans="1:14" x14ac:dyDescent="0.2">
      <c r="A68" s="42" t="str">
        <f t="shared" si="28"/>
        <v>NVG Qual - WSO</v>
      </c>
      <c r="B68" s="197">
        <f t="shared" ref="B68:M68" si="38">ROUNDUP(IF(B$13="Deploy",MAX((B$89/100)*$B108,$B108),(B$89/100)*$B108),0)</f>
        <v>12</v>
      </c>
      <c r="C68" s="43">
        <f t="shared" si="38"/>
        <v>12</v>
      </c>
      <c r="D68" s="43">
        <f t="shared" si="38"/>
        <v>12</v>
      </c>
      <c r="E68" s="43">
        <f t="shared" si="38"/>
        <v>12</v>
      </c>
      <c r="F68" s="43">
        <f t="shared" si="38"/>
        <v>10</v>
      </c>
      <c r="G68" s="43">
        <f t="shared" si="38"/>
        <v>12</v>
      </c>
      <c r="H68" s="43">
        <f t="shared" si="38"/>
        <v>12</v>
      </c>
      <c r="I68" s="43">
        <f t="shared" si="38"/>
        <v>12</v>
      </c>
      <c r="J68" s="43">
        <f t="shared" si="38"/>
        <v>12</v>
      </c>
      <c r="K68" s="43">
        <f t="shared" si="38"/>
        <v>12</v>
      </c>
      <c r="L68" s="43">
        <f t="shared" si="38"/>
        <v>10</v>
      </c>
      <c r="M68" s="43">
        <f t="shared" si="38"/>
        <v>10</v>
      </c>
      <c r="N68" s="43">
        <f>ROUNDUP(IF(N$13="Deploy",MAX((N$89/100)*$B108,$B108),(N$89/100)*$B108),0)</f>
        <v>5</v>
      </c>
    </row>
    <row r="69" spans="1:14" x14ac:dyDescent="0.2">
      <c r="A69" s="42" t="str">
        <f t="shared" si="28"/>
        <v>JHMCS Qual - Pilot</v>
      </c>
      <c r="B69" s="197">
        <f t="shared" ref="B69:M69" si="39">ROUNDUP(IF(B$13="Deploy",MAX((B$89/100)*$B109,$B109),(B$89/100)*$B109),0)</f>
        <v>12</v>
      </c>
      <c r="C69" s="43">
        <f t="shared" si="39"/>
        <v>12</v>
      </c>
      <c r="D69" s="43">
        <f t="shared" si="39"/>
        <v>12</v>
      </c>
      <c r="E69" s="43">
        <f t="shared" si="39"/>
        <v>12</v>
      </c>
      <c r="F69" s="43">
        <f t="shared" si="39"/>
        <v>10</v>
      </c>
      <c r="G69" s="43">
        <f t="shared" si="39"/>
        <v>12</v>
      </c>
      <c r="H69" s="43">
        <f t="shared" si="39"/>
        <v>12</v>
      </c>
      <c r="I69" s="43">
        <f t="shared" si="39"/>
        <v>12</v>
      </c>
      <c r="J69" s="43">
        <f t="shared" si="39"/>
        <v>12</v>
      </c>
      <c r="K69" s="43">
        <f t="shared" si="39"/>
        <v>12</v>
      </c>
      <c r="L69" s="43">
        <f t="shared" si="39"/>
        <v>10</v>
      </c>
      <c r="M69" s="43">
        <f t="shared" si="39"/>
        <v>10</v>
      </c>
      <c r="N69" s="43">
        <f>ROUNDUP(IF(N$13="Deploy",MAX((N$89/100)*$B109,$B109),(N$89/100)*$B109),0)</f>
        <v>5</v>
      </c>
    </row>
    <row r="70" spans="1:14" x14ac:dyDescent="0.2">
      <c r="A70" s="42" t="str">
        <f t="shared" si="28"/>
        <v>JMPS SME</v>
      </c>
      <c r="B70" s="197">
        <f t="shared" ref="B70:M70" si="40">ROUNDUP(IF(B$13="Deploy",MAX((B$89/100)*$B110,$B110),(B$89/100)*$B110),0)</f>
        <v>3</v>
      </c>
      <c r="C70" s="43">
        <f t="shared" si="40"/>
        <v>3</v>
      </c>
      <c r="D70" s="43">
        <f t="shared" si="40"/>
        <v>3</v>
      </c>
      <c r="E70" s="43">
        <f t="shared" si="40"/>
        <v>3</v>
      </c>
      <c r="F70" s="43">
        <f t="shared" si="40"/>
        <v>3</v>
      </c>
      <c r="G70" s="43">
        <f t="shared" si="40"/>
        <v>3</v>
      </c>
      <c r="H70" s="43">
        <f t="shared" si="40"/>
        <v>3</v>
      </c>
      <c r="I70" s="43">
        <f t="shared" si="40"/>
        <v>3</v>
      </c>
      <c r="J70" s="43">
        <f t="shared" si="40"/>
        <v>3</v>
      </c>
      <c r="K70" s="43">
        <f t="shared" si="40"/>
        <v>3</v>
      </c>
      <c r="L70" s="43">
        <f t="shared" si="40"/>
        <v>3</v>
      </c>
      <c r="M70" s="43">
        <f t="shared" si="40"/>
        <v>3</v>
      </c>
      <c r="N70" s="43">
        <v>0</v>
      </c>
    </row>
    <row r="71" spans="1:14" x14ac:dyDescent="0.2">
      <c r="A71" s="42" t="str">
        <f t="shared" si="28"/>
        <v xml:space="preserve">CVW STK LEAD </v>
      </c>
      <c r="B71" s="197">
        <f t="shared" ref="B71:M71" si="41">ROUNDUP(IF(B$13="Deploy",MAX((B$89/100)*$B111,$B111),(B$89/100)*$B111),0)</f>
        <v>3</v>
      </c>
      <c r="C71" s="197">
        <f t="shared" si="41"/>
        <v>3</v>
      </c>
      <c r="D71" s="197">
        <f t="shared" si="41"/>
        <v>3</v>
      </c>
      <c r="E71" s="197">
        <f t="shared" si="41"/>
        <v>3</v>
      </c>
      <c r="F71" s="197">
        <f t="shared" si="41"/>
        <v>3</v>
      </c>
      <c r="G71" s="197">
        <f t="shared" si="41"/>
        <v>3</v>
      </c>
      <c r="H71" s="197">
        <f t="shared" si="41"/>
        <v>3</v>
      </c>
      <c r="I71" s="197">
        <f t="shared" si="41"/>
        <v>3</v>
      </c>
      <c r="J71" s="197">
        <f t="shared" si="41"/>
        <v>3</v>
      </c>
      <c r="K71" s="197">
        <f t="shared" si="41"/>
        <v>3</v>
      </c>
      <c r="L71" s="197">
        <f t="shared" si="41"/>
        <v>3</v>
      </c>
      <c r="M71" s="197">
        <f t="shared" si="41"/>
        <v>3</v>
      </c>
      <c r="N71" s="197">
        <f>ROUNDUP(IF(N$13="Deploy",MAX((N$89/100)*$B111,$B111),(N$89/100)*$B111),0)</f>
        <v>2</v>
      </c>
    </row>
    <row r="72" spans="1:14" x14ac:dyDescent="0.2">
      <c r="A72" s="42" t="str">
        <f t="shared" si="28"/>
        <v>FAC(A) - Pilot</v>
      </c>
      <c r="B72" s="197">
        <f t="shared" ref="B72:M72" si="42">ROUNDUP(IF(B$13="Deploy",MAX((B$89/100)*$B112,$B112),(B$89/100)*$B112),0)</f>
        <v>4</v>
      </c>
      <c r="C72" s="197">
        <f t="shared" si="42"/>
        <v>4</v>
      </c>
      <c r="D72" s="197">
        <f t="shared" si="42"/>
        <v>4</v>
      </c>
      <c r="E72" s="197">
        <f t="shared" si="42"/>
        <v>4</v>
      </c>
      <c r="F72" s="197">
        <f t="shared" si="42"/>
        <v>4</v>
      </c>
      <c r="G72" s="197">
        <f t="shared" si="42"/>
        <v>4</v>
      </c>
      <c r="H72" s="197">
        <f t="shared" si="42"/>
        <v>4</v>
      </c>
      <c r="I72" s="197">
        <f t="shared" si="42"/>
        <v>4</v>
      </c>
      <c r="J72" s="197">
        <f t="shared" si="42"/>
        <v>4</v>
      </c>
      <c r="K72" s="197">
        <f t="shared" si="42"/>
        <v>4</v>
      </c>
      <c r="L72" s="197">
        <f t="shared" si="42"/>
        <v>4</v>
      </c>
      <c r="M72" s="197">
        <f t="shared" si="42"/>
        <v>4</v>
      </c>
      <c r="N72" s="197">
        <f>ROUNDUP(IF(N$13="Deploy",MAX((N$89/100)*$B112,$B112),(N$89/100)*$B112),0)</f>
        <v>2</v>
      </c>
    </row>
    <row r="73" spans="1:14" x14ac:dyDescent="0.2">
      <c r="A73" s="42" t="str">
        <f t="shared" si="28"/>
        <v>FAC(A) - WSO</v>
      </c>
      <c r="B73" s="43">
        <f t="shared" ref="B73:M73" si="43">ROUNDUP(IF(B$13="Deploy",MAX((B$89/100)*$B113,$B113),(B$89/100)*$B113),0)</f>
        <v>4</v>
      </c>
      <c r="C73" s="43">
        <f t="shared" si="43"/>
        <v>4</v>
      </c>
      <c r="D73" s="43">
        <f t="shared" si="43"/>
        <v>4</v>
      </c>
      <c r="E73" s="43">
        <f t="shared" si="43"/>
        <v>4</v>
      </c>
      <c r="F73" s="43">
        <f t="shared" si="43"/>
        <v>4</v>
      </c>
      <c r="G73" s="43">
        <f t="shared" si="43"/>
        <v>4</v>
      </c>
      <c r="H73" s="43">
        <f t="shared" si="43"/>
        <v>4</v>
      </c>
      <c r="I73" s="43">
        <f t="shared" si="43"/>
        <v>4</v>
      </c>
      <c r="J73" s="43">
        <f t="shared" si="43"/>
        <v>4</v>
      </c>
      <c r="K73" s="43">
        <f t="shared" si="43"/>
        <v>4</v>
      </c>
      <c r="L73" s="43">
        <f t="shared" si="43"/>
        <v>4</v>
      </c>
      <c r="M73" s="43">
        <f t="shared" si="43"/>
        <v>4</v>
      </c>
      <c r="N73" s="43">
        <f>ROUNDUP(IF(N$13="Deploy",MAX((N$89/100)*$B113,$B113),(N$89/100)*$B113),0)</f>
        <v>2</v>
      </c>
    </row>
    <row r="74" spans="1:14" x14ac:dyDescent="0.2">
      <c r="A74" s="42" t="str">
        <f t="shared" si="28"/>
        <v>Required Skilled Crews</v>
      </c>
      <c r="B74" s="43">
        <f t="shared" ref="B74:M74" si="44">ROUNDUP(IF(B$13="Deploy",MAX((B$89/100)*$B114,$B114),(B$89/100)*$B114),0)</f>
        <v>13</v>
      </c>
      <c r="C74" s="43">
        <f t="shared" si="44"/>
        <v>13</v>
      </c>
      <c r="D74" s="43">
        <f t="shared" si="44"/>
        <v>12</v>
      </c>
      <c r="E74" s="43">
        <f t="shared" si="44"/>
        <v>12</v>
      </c>
      <c r="F74" s="43">
        <f t="shared" si="44"/>
        <v>11</v>
      </c>
      <c r="G74" s="43">
        <f t="shared" si="44"/>
        <v>13</v>
      </c>
      <c r="H74" s="43">
        <f t="shared" si="44"/>
        <v>13</v>
      </c>
      <c r="I74" s="43">
        <f t="shared" si="44"/>
        <v>13</v>
      </c>
      <c r="J74" s="43">
        <f t="shared" si="44"/>
        <v>13</v>
      </c>
      <c r="K74" s="43">
        <f t="shared" si="44"/>
        <v>12</v>
      </c>
      <c r="L74" s="43">
        <f t="shared" si="44"/>
        <v>11</v>
      </c>
      <c r="M74" s="43">
        <f t="shared" si="44"/>
        <v>11</v>
      </c>
      <c r="N74" s="43">
        <f>ROUNDUP(IF(N$13="Deploy",MAX((N$89/100)*$B114,$B114),(N$89/100)*$B114),0)</f>
        <v>5</v>
      </c>
    </row>
    <row r="75" spans="1:14" ht="12.75" x14ac:dyDescent="0.2">
      <c r="A75" s="226" t="s">
        <v>143</v>
      </c>
      <c r="B75" s="280"/>
      <c r="C75" s="281"/>
      <c r="D75" s="281"/>
      <c r="E75" s="281"/>
      <c r="F75" s="281"/>
      <c r="G75" s="282"/>
      <c r="H75" s="282"/>
      <c r="I75" s="282"/>
      <c r="J75" s="282"/>
      <c r="K75" s="282"/>
      <c r="L75" s="282"/>
      <c r="M75" s="282"/>
      <c r="N75" s="285"/>
    </row>
    <row r="76" spans="1:14" x14ac:dyDescent="0.2">
      <c r="A76" s="24" t="s">
        <v>144</v>
      </c>
      <c r="B76" s="279">
        <v>0.95</v>
      </c>
      <c r="C76" s="279">
        <v>0.95</v>
      </c>
      <c r="D76" s="279">
        <v>0.95</v>
      </c>
      <c r="E76" s="279">
        <v>0.95</v>
      </c>
      <c r="F76" s="279">
        <v>0.95</v>
      </c>
      <c r="G76" s="279">
        <v>0.95</v>
      </c>
      <c r="H76" s="279">
        <v>0.95</v>
      </c>
      <c r="I76" s="279">
        <v>0.95</v>
      </c>
      <c r="J76" s="279">
        <v>0.95</v>
      </c>
      <c r="K76" s="279">
        <v>0.95</v>
      </c>
      <c r="L76" s="279">
        <v>0.95</v>
      </c>
      <c r="M76" s="279">
        <v>0.95</v>
      </c>
      <c r="N76" s="279">
        <v>0.95</v>
      </c>
    </row>
    <row r="77" spans="1:14" x14ac:dyDescent="0.2">
      <c r="A77" s="24" t="s">
        <v>145</v>
      </c>
      <c r="B77" s="275">
        <v>0.92</v>
      </c>
      <c r="C77" s="275">
        <v>0.92</v>
      </c>
      <c r="D77" s="275">
        <v>0.92</v>
      </c>
      <c r="E77" s="275">
        <v>0.92</v>
      </c>
      <c r="F77" s="275">
        <v>0.92</v>
      </c>
      <c r="G77" s="275">
        <v>0.92</v>
      </c>
      <c r="H77" s="275">
        <v>0.92</v>
      </c>
      <c r="I77" s="275">
        <v>0.92</v>
      </c>
      <c r="J77" s="275">
        <v>0.92</v>
      </c>
      <c r="K77" s="275">
        <v>0.92</v>
      </c>
      <c r="L77" s="275">
        <v>0.92</v>
      </c>
      <c r="M77" s="275">
        <v>0.92</v>
      </c>
      <c r="N77" s="275">
        <v>0.92</v>
      </c>
    </row>
    <row r="78" spans="1:14" x14ac:dyDescent="0.2">
      <c r="A78" s="24" t="s">
        <v>146</v>
      </c>
      <c r="B78" s="275">
        <v>0.75</v>
      </c>
      <c r="C78" s="275">
        <v>0.75</v>
      </c>
      <c r="D78" s="275">
        <v>0.75</v>
      </c>
      <c r="E78" s="275">
        <v>0.75</v>
      </c>
      <c r="F78" s="275">
        <v>0.75</v>
      </c>
      <c r="G78" s="275">
        <v>0.75</v>
      </c>
      <c r="H78" s="275">
        <v>0.75</v>
      </c>
      <c r="I78" s="275">
        <v>0.75</v>
      </c>
      <c r="J78" s="275">
        <v>0.75</v>
      </c>
      <c r="K78" s="275">
        <v>0.75</v>
      </c>
      <c r="L78" s="275">
        <v>0.75</v>
      </c>
      <c r="M78" s="275">
        <v>0.75</v>
      </c>
      <c r="N78" s="275">
        <v>0.75</v>
      </c>
    </row>
    <row r="79" spans="1:14" x14ac:dyDescent="0.2">
      <c r="N79" s="130"/>
    </row>
    <row r="80" spans="1:14" x14ac:dyDescent="0.2">
      <c r="B80" s="30"/>
      <c r="C80" s="30"/>
      <c r="N80" s="21"/>
    </row>
    <row r="81" spans="1:14" x14ac:dyDescent="0.2">
      <c r="B81" s="30"/>
      <c r="C81" s="30"/>
      <c r="N81" s="21"/>
    </row>
    <row r="82" spans="1:14" ht="12.75" thickBot="1" x14ac:dyDescent="0.25">
      <c r="A82" s="14"/>
    </row>
    <row r="83" spans="1:14" ht="12.75" thickBot="1" x14ac:dyDescent="0.25">
      <c r="A83" s="455" t="s">
        <v>147</v>
      </c>
      <c r="B83" s="456"/>
      <c r="C83" s="456"/>
      <c r="D83" s="456"/>
      <c r="E83" s="456"/>
      <c r="F83" s="456"/>
      <c r="G83" s="456"/>
      <c r="H83" s="456"/>
      <c r="I83" s="456"/>
      <c r="J83" s="456"/>
      <c r="K83" s="456"/>
      <c r="L83" s="456"/>
      <c r="M83" s="456"/>
      <c r="N83" s="457"/>
    </row>
    <row r="84" spans="1:14" x14ac:dyDescent="0.2">
      <c r="A84" s="121" t="s">
        <v>148</v>
      </c>
      <c r="B84" s="122">
        <f t="shared" ref="B84:M84" si="45">MIN(100,B86+$B$90)</f>
        <v>100</v>
      </c>
      <c r="C84" s="122">
        <f t="shared" si="45"/>
        <v>100</v>
      </c>
      <c r="D84" s="122">
        <f t="shared" si="45"/>
        <v>99.65352133915421</v>
      </c>
      <c r="E84" s="122">
        <f t="shared" si="45"/>
        <v>99.65352133915421</v>
      </c>
      <c r="F84" s="122">
        <f t="shared" si="45"/>
        <v>88.65352133915421</v>
      </c>
      <c r="G84" s="122">
        <f t="shared" si="45"/>
        <v>100</v>
      </c>
      <c r="H84" s="122">
        <f t="shared" si="45"/>
        <v>100</v>
      </c>
      <c r="I84" s="122">
        <f t="shared" si="45"/>
        <v>100</v>
      </c>
      <c r="J84" s="122">
        <f t="shared" si="45"/>
        <v>100</v>
      </c>
      <c r="K84" s="122">
        <f t="shared" si="45"/>
        <v>99.65352133915421</v>
      </c>
      <c r="L84" s="122">
        <f t="shared" si="45"/>
        <v>88.65352133915421</v>
      </c>
      <c r="M84" s="138">
        <f t="shared" si="45"/>
        <v>87.65352133915421</v>
      </c>
      <c r="N84" s="141">
        <v>60.803436023597357</v>
      </c>
    </row>
    <row r="85" spans="1:14" x14ac:dyDescent="0.2">
      <c r="A85" s="44" t="s">
        <v>149</v>
      </c>
      <c r="B85" s="45">
        <f t="shared" ref="B85:M85" si="46">MIN(100,B86+$B$91)</f>
        <v>100</v>
      </c>
      <c r="C85" s="45">
        <f t="shared" si="46"/>
        <v>100</v>
      </c>
      <c r="D85" s="45">
        <f t="shared" si="46"/>
        <v>95.826760669577112</v>
      </c>
      <c r="E85" s="45">
        <f t="shared" si="46"/>
        <v>95.826760669577112</v>
      </c>
      <c r="F85" s="45">
        <f t="shared" si="46"/>
        <v>84.826760669577112</v>
      </c>
      <c r="G85" s="45">
        <f t="shared" si="46"/>
        <v>100</v>
      </c>
      <c r="H85" s="45">
        <f t="shared" si="46"/>
        <v>100</v>
      </c>
      <c r="I85" s="45">
        <f t="shared" si="46"/>
        <v>100</v>
      </c>
      <c r="J85" s="45">
        <f t="shared" si="46"/>
        <v>96.826760669577112</v>
      </c>
      <c r="K85" s="45">
        <f t="shared" si="46"/>
        <v>95.826760669577112</v>
      </c>
      <c r="L85" s="45">
        <f t="shared" si="46"/>
        <v>84.826760669577112</v>
      </c>
      <c r="M85" s="139">
        <f t="shared" si="46"/>
        <v>83.826760669577112</v>
      </c>
      <c r="N85" s="46">
        <v>48.901718011798678</v>
      </c>
    </row>
    <row r="86" spans="1:14" x14ac:dyDescent="0.2">
      <c r="A86" s="44" t="s">
        <v>150</v>
      </c>
      <c r="B86" s="103">
        <v>100</v>
      </c>
      <c r="C86" s="103">
        <v>100</v>
      </c>
      <c r="D86" s="103">
        <v>92</v>
      </c>
      <c r="E86" s="103">
        <v>92</v>
      </c>
      <c r="F86" s="103">
        <v>81</v>
      </c>
      <c r="G86" s="103">
        <v>100</v>
      </c>
      <c r="H86" s="103">
        <v>100</v>
      </c>
      <c r="I86" s="103">
        <v>100</v>
      </c>
      <c r="J86" s="103">
        <v>93</v>
      </c>
      <c r="K86" s="103">
        <v>92</v>
      </c>
      <c r="L86" s="103">
        <v>81</v>
      </c>
      <c r="M86" s="137">
        <v>80</v>
      </c>
      <c r="N86" s="104">
        <v>37</v>
      </c>
    </row>
    <row r="87" spans="1:14" x14ac:dyDescent="0.2">
      <c r="A87" s="44" t="s">
        <v>151</v>
      </c>
      <c r="B87" s="45">
        <f t="shared" ref="B87:M87" si="47">MIN(80,IF(B13="Deploy",80,MAX(0,B86-$B$91)))</f>
        <v>80</v>
      </c>
      <c r="C87" s="45">
        <f t="shared" si="47"/>
        <v>80</v>
      </c>
      <c r="D87" s="45">
        <f t="shared" si="47"/>
        <v>80</v>
      </c>
      <c r="E87" s="45">
        <f t="shared" si="47"/>
        <v>80</v>
      </c>
      <c r="F87" s="45">
        <f t="shared" si="47"/>
        <v>77.173239330422888</v>
      </c>
      <c r="G87" s="45">
        <f t="shared" si="47"/>
        <v>80</v>
      </c>
      <c r="H87" s="45">
        <f t="shared" si="47"/>
        <v>80</v>
      </c>
      <c r="I87" s="45">
        <f t="shared" si="47"/>
        <v>80</v>
      </c>
      <c r="J87" s="45">
        <f t="shared" si="47"/>
        <v>80</v>
      </c>
      <c r="K87" s="45">
        <f t="shared" si="47"/>
        <v>80</v>
      </c>
      <c r="L87" s="45">
        <f t="shared" si="47"/>
        <v>77.173239330422888</v>
      </c>
      <c r="M87" s="139">
        <f t="shared" si="47"/>
        <v>76.173239330422888</v>
      </c>
      <c r="N87" s="46">
        <v>25.098281988201322</v>
      </c>
    </row>
    <row r="88" spans="1:14" ht="12.75" thickBot="1" x14ac:dyDescent="0.25">
      <c r="A88" s="47" t="s">
        <v>152</v>
      </c>
      <c r="B88" s="48">
        <f t="shared" ref="B88:M88" si="48">MIN(60,IF(B14="Deploy",60,MAX(0,B86-$B$90)))</f>
        <v>60</v>
      </c>
      <c r="C88" s="48">
        <f t="shared" si="48"/>
        <v>60</v>
      </c>
      <c r="D88" s="48">
        <f t="shared" si="48"/>
        <v>60</v>
      </c>
      <c r="E88" s="48">
        <f t="shared" si="48"/>
        <v>60</v>
      </c>
      <c r="F88" s="48">
        <f t="shared" si="48"/>
        <v>60</v>
      </c>
      <c r="G88" s="48">
        <f t="shared" si="48"/>
        <v>60</v>
      </c>
      <c r="H88" s="48">
        <f t="shared" si="48"/>
        <v>60</v>
      </c>
      <c r="I88" s="48">
        <f t="shared" si="48"/>
        <v>60</v>
      </c>
      <c r="J88" s="48">
        <f t="shared" si="48"/>
        <v>60</v>
      </c>
      <c r="K88" s="48">
        <f t="shared" si="48"/>
        <v>60</v>
      </c>
      <c r="L88" s="48">
        <f t="shared" si="48"/>
        <v>60</v>
      </c>
      <c r="M88" s="140">
        <f t="shared" si="48"/>
        <v>60</v>
      </c>
      <c r="N88" s="49">
        <v>13.196563976402647</v>
      </c>
    </row>
    <row r="89" spans="1:14" ht="12.75" thickBot="1" x14ac:dyDescent="0.25">
      <c r="A89" s="152" t="s">
        <v>153</v>
      </c>
      <c r="B89" s="153">
        <v>100</v>
      </c>
      <c r="C89" s="153">
        <v>100</v>
      </c>
      <c r="D89" s="153">
        <v>92</v>
      </c>
      <c r="E89" s="153">
        <v>92</v>
      </c>
      <c r="F89" s="153">
        <v>81</v>
      </c>
      <c r="G89" s="153">
        <v>100</v>
      </c>
      <c r="H89" s="153">
        <v>100</v>
      </c>
      <c r="I89" s="153">
        <v>100</v>
      </c>
      <c r="J89" s="153">
        <v>93</v>
      </c>
      <c r="K89" s="153">
        <v>92</v>
      </c>
      <c r="L89" s="153">
        <v>81</v>
      </c>
      <c r="M89" s="154">
        <v>80</v>
      </c>
      <c r="N89" s="155">
        <v>37</v>
      </c>
    </row>
    <row r="90" spans="1:14" x14ac:dyDescent="0.2">
      <c r="A90" s="129" t="s">
        <v>154</v>
      </c>
      <c r="B90" s="106">
        <f t="array" ref="B90">SQRT(SUM(POWER(AVERAGE(B86:M86)-(B86:M86),2))/COUNT(B86:M86))*1</f>
        <v>7.6535213391542127</v>
      </c>
    </row>
    <row r="91" spans="1:14" ht="12.75" thickBot="1" x14ac:dyDescent="0.25">
      <c r="A91" s="119" t="s">
        <v>155</v>
      </c>
      <c r="B91" s="108">
        <f>B90/2</f>
        <v>3.8267606695771064</v>
      </c>
      <c r="N91" s="22"/>
    </row>
    <row r="92" spans="1:14" ht="12.75" thickBot="1" x14ac:dyDescent="0.25">
      <c r="A92" s="30"/>
      <c r="B92" s="30"/>
      <c r="C92" s="30"/>
      <c r="D92" s="30"/>
      <c r="E92" s="30"/>
      <c r="F92" s="30"/>
      <c r="G92" s="30"/>
      <c r="H92" s="30"/>
      <c r="I92" s="30"/>
      <c r="J92" s="30"/>
      <c r="K92" s="30"/>
      <c r="L92" s="30"/>
      <c r="M92" s="30"/>
    </row>
    <row r="93" spans="1:14" ht="12.75" thickBot="1" x14ac:dyDescent="0.25">
      <c r="A93" s="458" t="s">
        <v>156</v>
      </c>
      <c r="B93" s="459"/>
    </row>
    <row r="94" spans="1:14" ht="12.75" thickBot="1" x14ac:dyDescent="0.25">
      <c r="A94" s="439" t="s">
        <v>157</v>
      </c>
      <c r="B94" s="440"/>
    </row>
    <row r="95" spans="1:14" ht="12.75" thickTop="1" x14ac:dyDescent="0.2">
      <c r="A95" s="75" t="s">
        <v>139</v>
      </c>
      <c r="B95" s="77">
        <v>17</v>
      </c>
    </row>
    <row r="96" spans="1:14" x14ac:dyDescent="0.2">
      <c r="A96" s="50" t="s">
        <v>140</v>
      </c>
      <c r="B96" s="51">
        <v>17</v>
      </c>
    </row>
    <row r="97" spans="1:14" x14ac:dyDescent="0.2">
      <c r="A97" s="75" t="s">
        <v>141</v>
      </c>
      <c r="B97" s="77">
        <v>17</v>
      </c>
    </row>
    <row r="98" spans="1:14" x14ac:dyDescent="0.2">
      <c r="A98" s="50" t="s">
        <v>142</v>
      </c>
      <c r="B98" s="51">
        <v>17</v>
      </c>
    </row>
    <row r="99" spans="1:14" x14ac:dyDescent="0.2">
      <c r="A99" s="50" t="s">
        <v>158</v>
      </c>
      <c r="B99" s="52">
        <v>5</v>
      </c>
    </row>
    <row r="100" spans="1:14" x14ac:dyDescent="0.2">
      <c r="A100" s="50" t="s">
        <v>159</v>
      </c>
      <c r="B100" s="52">
        <v>7</v>
      </c>
    </row>
    <row r="101" spans="1:14" x14ac:dyDescent="0.2">
      <c r="A101" s="50" t="s">
        <v>160</v>
      </c>
      <c r="B101" s="52">
        <v>12</v>
      </c>
    </row>
    <row r="102" spans="1:14" x14ac:dyDescent="0.2">
      <c r="A102" s="50" t="s">
        <v>161</v>
      </c>
      <c r="B102" s="51">
        <v>17</v>
      </c>
    </row>
    <row r="103" spans="1:14" x14ac:dyDescent="0.2">
      <c r="A103" s="50" t="s">
        <v>162</v>
      </c>
      <c r="B103" s="52">
        <v>5</v>
      </c>
    </row>
    <row r="104" spans="1:14" x14ac:dyDescent="0.2">
      <c r="A104" s="50" t="s">
        <v>163</v>
      </c>
      <c r="B104" s="55">
        <v>7</v>
      </c>
    </row>
    <row r="105" spans="1:14" x14ac:dyDescent="0.2">
      <c r="A105" s="50" t="s">
        <v>164</v>
      </c>
      <c r="B105" s="55">
        <v>12</v>
      </c>
    </row>
    <row r="106" spans="1:14" x14ac:dyDescent="0.2">
      <c r="A106" s="50" t="s">
        <v>165</v>
      </c>
      <c r="B106" s="55">
        <v>17</v>
      </c>
    </row>
    <row r="107" spans="1:14" x14ac:dyDescent="0.2">
      <c r="A107" s="50" t="s">
        <v>166</v>
      </c>
      <c r="B107" s="55">
        <v>12</v>
      </c>
      <c r="N107" s="21"/>
    </row>
    <row r="108" spans="1:14" x14ac:dyDescent="0.2">
      <c r="A108" s="50" t="s">
        <v>167</v>
      </c>
      <c r="B108" s="55">
        <v>12</v>
      </c>
      <c r="N108" s="21"/>
    </row>
    <row r="109" spans="1:14" x14ac:dyDescent="0.2">
      <c r="A109" s="50" t="s">
        <v>168</v>
      </c>
      <c r="B109" s="55">
        <v>12</v>
      </c>
      <c r="N109" s="21"/>
    </row>
    <row r="110" spans="1:14" x14ac:dyDescent="0.2">
      <c r="A110" s="50" t="s">
        <v>169</v>
      </c>
      <c r="B110" s="55">
        <v>3</v>
      </c>
    </row>
    <row r="111" spans="1:14" x14ac:dyDescent="0.2">
      <c r="A111" s="50" t="s">
        <v>170</v>
      </c>
      <c r="B111" s="55">
        <v>3</v>
      </c>
    </row>
    <row r="112" spans="1:14" x14ac:dyDescent="0.2">
      <c r="A112" s="50" t="s">
        <v>171</v>
      </c>
      <c r="B112" s="76">
        <v>4</v>
      </c>
    </row>
    <row r="113" spans="1:14" x14ac:dyDescent="0.2">
      <c r="A113" s="50" t="s">
        <v>172</v>
      </c>
      <c r="B113" s="76">
        <v>4</v>
      </c>
    </row>
    <row r="114" spans="1:14" ht="12.75" thickBot="1" x14ac:dyDescent="0.25">
      <c r="A114" s="53" t="s">
        <v>173</v>
      </c>
      <c r="B114" s="54">
        <v>13</v>
      </c>
    </row>
    <row r="115" spans="1:14" ht="12.75" thickBot="1" x14ac:dyDescent="0.25"/>
    <row r="116" spans="1:14" ht="13.5" thickBot="1" x14ac:dyDescent="0.25">
      <c r="A116" s="431" t="s">
        <v>174</v>
      </c>
      <c r="B116" s="432"/>
    </row>
    <row r="117" spans="1:14" x14ac:dyDescent="0.2">
      <c r="A117" s="116" t="s">
        <v>175</v>
      </c>
      <c r="B117" s="117"/>
      <c r="C117" s="117"/>
      <c r="D117" s="117"/>
      <c r="E117" s="117"/>
      <c r="F117" s="117"/>
      <c r="G117" s="117"/>
      <c r="H117" s="117"/>
      <c r="I117" s="117"/>
      <c r="J117" s="117"/>
      <c r="K117" s="117"/>
      <c r="L117" s="117"/>
      <c r="M117" s="113"/>
      <c r="N117" s="113"/>
    </row>
    <row r="118" spans="1:14" ht="12.75" thickBot="1" x14ac:dyDescent="0.25">
      <c r="A118" s="119" t="s">
        <v>177</v>
      </c>
      <c r="B118" s="120" t="s">
        <v>176</v>
      </c>
      <c r="C118" s="120" t="s">
        <v>176</v>
      </c>
      <c r="D118" s="120"/>
      <c r="E118" s="120"/>
      <c r="F118" s="120"/>
      <c r="G118" s="120" t="s">
        <v>176</v>
      </c>
      <c r="H118" s="120" t="s">
        <v>176</v>
      </c>
      <c r="I118" s="120" t="s">
        <v>176</v>
      </c>
      <c r="J118" s="120"/>
      <c r="K118" s="120"/>
      <c r="L118" s="120"/>
      <c r="M118" s="56"/>
      <c r="N118" s="56"/>
    </row>
    <row r="119" spans="1:14" ht="12.75" thickBot="1" x14ac:dyDescent="0.25"/>
    <row r="120" spans="1:14" ht="12.75" x14ac:dyDescent="0.2">
      <c r="A120" s="207" t="s">
        <v>178</v>
      </c>
      <c r="B120" s="426" t="s">
        <v>179</v>
      </c>
      <c r="C120" s="426"/>
      <c r="D120" s="427" t="s">
        <v>180</v>
      </c>
      <c r="E120" s="427"/>
      <c r="F120" s="428" t="s">
        <v>181</v>
      </c>
      <c r="G120" s="429"/>
      <c r="I120" s="145" t="s">
        <v>182</v>
      </c>
    </row>
    <row r="121" spans="1:14" ht="12.75" x14ac:dyDescent="0.2">
      <c r="A121" s="208" t="s">
        <v>183</v>
      </c>
      <c r="B121" s="159"/>
      <c r="C121" s="159"/>
      <c r="D121" s="159"/>
      <c r="E121" s="159"/>
      <c r="F121" s="159"/>
      <c r="G121" s="171"/>
      <c r="I121" s="221" t="s">
        <v>40</v>
      </c>
    </row>
    <row r="122" spans="1:14" x14ac:dyDescent="0.2">
      <c r="A122" s="157" t="s">
        <v>184</v>
      </c>
      <c r="B122" s="160">
        <v>12</v>
      </c>
      <c r="C122" s="160">
        <v>12</v>
      </c>
      <c r="D122" s="162">
        <v>11</v>
      </c>
      <c r="E122" s="162">
        <v>9</v>
      </c>
      <c r="F122" s="164">
        <v>8</v>
      </c>
      <c r="G122" s="209">
        <v>0</v>
      </c>
    </row>
    <row r="123" spans="1:14" x14ac:dyDescent="0.2">
      <c r="A123" s="157" t="s">
        <v>185</v>
      </c>
      <c r="B123" s="160">
        <v>12</v>
      </c>
      <c r="C123" s="160">
        <v>9</v>
      </c>
      <c r="D123" s="162">
        <v>8</v>
      </c>
      <c r="E123" s="162">
        <v>7</v>
      </c>
      <c r="F123" s="164">
        <v>6</v>
      </c>
      <c r="G123" s="209">
        <v>0</v>
      </c>
    </row>
    <row r="124" spans="1:14" x14ac:dyDescent="0.2">
      <c r="A124" s="208" t="s">
        <v>122</v>
      </c>
      <c r="B124" s="210"/>
      <c r="C124" s="211"/>
      <c r="D124" s="211"/>
      <c r="E124" s="211"/>
      <c r="F124" s="211"/>
      <c r="G124" s="212"/>
    </row>
    <row r="125" spans="1:14" ht="12.75" x14ac:dyDescent="0.2">
      <c r="A125" s="240" t="s">
        <v>123</v>
      </c>
      <c r="B125" s="213">
        <v>12</v>
      </c>
      <c r="C125" s="160">
        <v>7</v>
      </c>
      <c r="D125" s="162">
        <v>6</v>
      </c>
      <c r="E125" s="162">
        <v>5</v>
      </c>
      <c r="F125" s="164">
        <v>4</v>
      </c>
      <c r="G125" s="165">
        <v>0</v>
      </c>
    </row>
    <row r="126" spans="1:14" ht="12.75" x14ac:dyDescent="0.2">
      <c r="A126" s="240" t="s">
        <v>124</v>
      </c>
      <c r="B126" s="160">
        <v>12</v>
      </c>
      <c r="C126" s="160">
        <v>1</v>
      </c>
      <c r="D126" s="162">
        <v>1</v>
      </c>
      <c r="E126" s="162">
        <v>1</v>
      </c>
      <c r="F126" s="164">
        <v>0</v>
      </c>
      <c r="G126" s="209">
        <v>0</v>
      </c>
    </row>
    <row r="127" spans="1:14" ht="12.75" x14ac:dyDescent="0.2">
      <c r="A127" s="240" t="s">
        <v>125</v>
      </c>
      <c r="B127" s="160">
        <v>12</v>
      </c>
      <c r="C127" s="160">
        <v>4</v>
      </c>
      <c r="D127" s="162">
        <v>3</v>
      </c>
      <c r="E127" s="162"/>
      <c r="F127" s="164">
        <v>2</v>
      </c>
      <c r="G127" s="209">
        <v>0</v>
      </c>
    </row>
    <row r="128" spans="1:14" ht="12.75" x14ac:dyDescent="0.2">
      <c r="A128" s="240" t="s">
        <v>126</v>
      </c>
      <c r="B128" s="160">
        <v>12</v>
      </c>
      <c r="C128" s="160">
        <v>7</v>
      </c>
      <c r="D128" s="162">
        <v>6</v>
      </c>
      <c r="E128" s="162">
        <v>5</v>
      </c>
      <c r="F128" s="164">
        <v>4</v>
      </c>
      <c r="G128" s="209">
        <v>0</v>
      </c>
    </row>
    <row r="129" spans="1:7" ht="12.75" x14ac:dyDescent="0.2">
      <c r="A129" s="240" t="s">
        <v>127</v>
      </c>
      <c r="B129" s="160">
        <v>12</v>
      </c>
      <c r="C129" s="160">
        <v>7</v>
      </c>
      <c r="D129" s="162">
        <v>6</v>
      </c>
      <c r="E129" s="162">
        <v>5</v>
      </c>
      <c r="F129" s="164">
        <v>4</v>
      </c>
      <c r="G129" s="209">
        <v>0</v>
      </c>
    </row>
    <row r="130" spans="1:7" ht="12.75" x14ac:dyDescent="0.2">
      <c r="A130" s="240" t="s">
        <v>128</v>
      </c>
      <c r="B130" s="160">
        <v>12</v>
      </c>
      <c r="C130" s="160">
        <v>7</v>
      </c>
      <c r="D130" s="162">
        <v>6</v>
      </c>
      <c r="E130" s="162">
        <v>5</v>
      </c>
      <c r="F130" s="164">
        <v>4</v>
      </c>
      <c r="G130" s="209">
        <v>0</v>
      </c>
    </row>
    <row r="131" spans="1:7" ht="12.75" x14ac:dyDescent="0.2">
      <c r="A131" s="240" t="s">
        <v>129</v>
      </c>
      <c r="B131" s="160">
        <v>12</v>
      </c>
      <c r="C131" s="160">
        <v>9</v>
      </c>
      <c r="D131" s="162">
        <v>8</v>
      </c>
      <c r="E131" s="162">
        <v>3</v>
      </c>
      <c r="F131" s="164">
        <v>2</v>
      </c>
      <c r="G131" s="209">
        <v>0</v>
      </c>
    </row>
    <row r="132" spans="1:7" ht="12.75" x14ac:dyDescent="0.2">
      <c r="A132" s="240" t="s">
        <v>130</v>
      </c>
      <c r="B132" s="160">
        <v>12</v>
      </c>
      <c r="C132" s="160">
        <v>7</v>
      </c>
      <c r="D132" s="162">
        <v>6</v>
      </c>
      <c r="E132" s="162">
        <v>5</v>
      </c>
      <c r="F132" s="164">
        <v>3</v>
      </c>
      <c r="G132" s="209">
        <v>0</v>
      </c>
    </row>
    <row r="133" spans="1:7" ht="12.75" x14ac:dyDescent="0.2">
      <c r="A133" s="240" t="s">
        <v>131</v>
      </c>
      <c r="B133" s="160">
        <v>12</v>
      </c>
      <c r="C133" s="160">
        <v>9</v>
      </c>
      <c r="D133" s="162">
        <v>8</v>
      </c>
      <c r="E133" s="162">
        <v>3</v>
      </c>
      <c r="F133" s="164">
        <v>2</v>
      </c>
      <c r="G133" s="209">
        <v>0</v>
      </c>
    </row>
    <row r="134" spans="1:7" ht="12.75" x14ac:dyDescent="0.2">
      <c r="A134" s="240" t="s">
        <v>132</v>
      </c>
      <c r="B134" s="160">
        <v>12</v>
      </c>
      <c r="C134" s="160">
        <v>9</v>
      </c>
      <c r="D134" s="162">
        <v>8</v>
      </c>
      <c r="E134" s="162">
        <v>7</v>
      </c>
      <c r="F134" s="164">
        <v>6</v>
      </c>
      <c r="G134" s="209">
        <v>0</v>
      </c>
    </row>
    <row r="135" spans="1:7" x14ac:dyDescent="0.2">
      <c r="A135" s="208" t="s">
        <v>133</v>
      </c>
      <c r="B135" s="210"/>
      <c r="C135" s="211"/>
      <c r="D135" s="211"/>
      <c r="E135" s="211"/>
      <c r="F135" s="211"/>
      <c r="G135" s="212"/>
    </row>
    <row r="136" spans="1:7" x14ac:dyDescent="0.2">
      <c r="A136" s="157" t="s">
        <v>134</v>
      </c>
      <c r="B136" s="160">
        <v>8</v>
      </c>
      <c r="C136" s="160">
        <v>8</v>
      </c>
      <c r="D136" s="162">
        <v>7</v>
      </c>
      <c r="E136" s="162">
        <v>4</v>
      </c>
      <c r="F136" s="164">
        <v>3</v>
      </c>
      <c r="G136" s="209">
        <v>0</v>
      </c>
    </row>
    <row r="137" spans="1:7" x14ac:dyDescent="0.2">
      <c r="A137" s="157" t="s">
        <v>135</v>
      </c>
      <c r="B137" s="167">
        <v>8</v>
      </c>
      <c r="C137" s="167">
        <v>6</v>
      </c>
      <c r="D137" s="169">
        <v>5</v>
      </c>
      <c r="E137" s="169">
        <v>3</v>
      </c>
      <c r="F137" s="170">
        <v>2</v>
      </c>
      <c r="G137" s="214">
        <v>0</v>
      </c>
    </row>
    <row r="138" spans="1:7" x14ac:dyDescent="0.2">
      <c r="A138" s="157" t="s">
        <v>186</v>
      </c>
      <c r="B138" s="167">
        <v>6</v>
      </c>
      <c r="C138" s="167">
        <v>6</v>
      </c>
      <c r="D138" s="169">
        <v>5</v>
      </c>
      <c r="E138" s="169">
        <v>4</v>
      </c>
      <c r="F138" s="170">
        <v>3</v>
      </c>
      <c r="G138" s="214">
        <v>0</v>
      </c>
    </row>
    <row r="139" spans="1:7" ht="12.75" thickBot="1" x14ac:dyDescent="0.25">
      <c r="A139" s="158" t="s">
        <v>187</v>
      </c>
      <c r="B139" s="161">
        <v>6</v>
      </c>
      <c r="C139" s="161">
        <v>4</v>
      </c>
      <c r="D139" s="163">
        <v>3</v>
      </c>
      <c r="E139" s="163">
        <v>3</v>
      </c>
      <c r="F139" s="166">
        <v>2</v>
      </c>
      <c r="G139" s="215">
        <v>0</v>
      </c>
    </row>
    <row r="142" spans="1:7" x14ac:dyDescent="0.2">
      <c r="A142" s="340" t="s">
        <v>188</v>
      </c>
      <c r="B142" s="340" t="s">
        <v>198</v>
      </c>
    </row>
    <row r="143" spans="1:7" x14ac:dyDescent="0.2">
      <c r="A143" s="341" t="s">
        <v>190</v>
      </c>
      <c r="B143" s="342">
        <f>HLOOKUP($B$142,'FA-18EF Mission System Summary'!$B$1:$F$12,2,FALSE)</f>
        <v>0.81398064731398057</v>
      </c>
    </row>
    <row r="144" spans="1:7" x14ac:dyDescent="0.2">
      <c r="A144" s="341" t="str">
        <f>A39</f>
        <v>Ready Advance Threat Warning Mission System (C)</v>
      </c>
      <c r="B144" s="342">
        <f>HLOOKUP($B$142,'FA-18EF Mission System Summary'!$B$1:$F$12,3,FALSE)</f>
        <v>0.69748319748319743</v>
      </c>
    </row>
    <row r="145" spans="1:2" x14ac:dyDescent="0.2">
      <c r="A145" s="341" t="str">
        <f t="shared" ref="A145:A153" si="49">A40</f>
        <v>Ready HARM Support Mission System (D)</v>
      </c>
      <c r="B145" s="342">
        <f>HLOOKUP($B$142,'FA-18EF Mission System Summary'!$B$1:$F$12,4,FALSE)</f>
        <v>0.15186615186615188</v>
      </c>
    </row>
    <row r="146" spans="1:2" x14ac:dyDescent="0.2">
      <c r="A146" s="341" t="str">
        <f t="shared" si="49"/>
        <v>Ready Missile Launch Mission System (E)</v>
      </c>
      <c r="B146" s="342">
        <f>HLOOKUP($B$142,'FA-18EF Mission System Summary'!$B$1:$F$12,5,FALSE)</f>
        <v>0.39761189761189758</v>
      </c>
    </row>
    <row r="147" spans="1:2" x14ac:dyDescent="0.2">
      <c r="A147" s="341" t="str">
        <f t="shared" si="49"/>
        <v>Ready Survivablity Mission System (F)</v>
      </c>
      <c r="B147" s="342">
        <f>HLOOKUP($B$142,'FA-18EF Mission System Summary'!$B$1:$F$12,6,FALSE)</f>
        <v>0.68590018590018587</v>
      </c>
    </row>
    <row r="148" spans="1:2" x14ac:dyDescent="0.2">
      <c r="A148" s="341" t="str">
        <f t="shared" si="49"/>
        <v>Ready Leathality Mission System (G)</v>
      </c>
      <c r="B148" s="342">
        <f>HLOOKUP($B$142,'FA-18EF Mission System Summary'!$B$1:$F$12,7,FALSE)</f>
        <v>0.69748319748319743</v>
      </c>
    </row>
    <row r="149" spans="1:2" x14ac:dyDescent="0.2">
      <c r="A149" s="341" t="str">
        <f t="shared" si="49"/>
        <v>Ready Combat Communications Mission System (H)</v>
      </c>
      <c r="B149" s="342">
        <f>HLOOKUP($B$142,'FA-18EF Mission System Summary'!$B$1:$F$12,8,FALSE)</f>
        <v>0.69748319748319743</v>
      </c>
    </row>
    <row r="150" spans="1:2" x14ac:dyDescent="0.2">
      <c r="A150" s="341" t="str">
        <f t="shared" si="49"/>
        <v>Ready Air to Air Refueling Mission Systems (I)</v>
      </c>
      <c r="B150" s="342">
        <f>HLOOKUP($B$142,'FA-18EF Mission System Summary'!$B$1:$F$12,9,FALSE)</f>
        <v>0.34949234949234947</v>
      </c>
    </row>
    <row r="151" spans="1:2" x14ac:dyDescent="0.2">
      <c r="A151" s="341" t="str">
        <f t="shared" si="49"/>
        <v>Ready Tactical Navigation Mission Systems (J)</v>
      </c>
      <c r="B151" s="342">
        <f>HLOOKUP($B$142,'FA-18EF Mission System Summary'!$B$1:$F$12,10,FALSE)</f>
        <v>0.74445874445874438</v>
      </c>
    </row>
    <row r="152" spans="1:2" x14ac:dyDescent="0.2">
      <c r="A152" s="341" t="str">
        <f t="shared" si="49"/>
        <v>Ready Shipboard Mission Systems (K)</v>
      </c>
      <c r="B152" s="342">
        <f>HLOOKUP($B$142,'FA-18EF Mission System Summary'!$B$1:$F$12,11,FALSE)</f>
        <v>0.326004576004576</v>
      </c>
    </row>
    <row r="153" spans="1:2" x14ac:dyDescent="0.2">
      <c r="A153" s="341" t="str">
        <f t="shared" si="49"/>
        <v>Ready IMC Flight Mission Systems (L)</v>
      </c>
      <c r="B153" s="342">
        <f>HLOOKUP($B$142,'FA-18EF Mission System Summary'!$B$1:$F$12,12,FALSE)</f>
        <v>1</v>
      </c>
    </row>
  </sheetData>
  <mergeCells count="13">
    <mergeCell ref="A1:G1"/>
    <mergeCell ref="B16:C16"/>
    <mergeCell ref="D16:F16"/>
    <mergeCell ref="G16:I16"/>
    <mergeCell ref="K1:N1"/>
    <mergeCell ref="K16:M16"/>
    <mergeCell ref="B120:C120"/>
    <mergeCell ref="D120:E120"/>
    <mergeCell ref="F120:G120"/>
    <mergeCell ref="A83:N83"/>
    <mergeCell ref="A116:B116"/>
    <mergeCell ref="A93:B93"/>
    <mergeCell ref="A94:B94"/>
  </mergeCells>
  <conditionalFormatting sqref="C122:C124 C126:C139">
    <cfRule type="cellIs" dxfId="21" priority="4" operator="equal">
      <formula>B122</formula>
    </cfRule>
  </conditionalFormatting>
  <conditionalFormatting sqref="D122:E124 D126:E139">
    <cfRule type="cellIs" dxfId="20" priority="5" operator="equal">
      <formula>C122</formula>
    </cfRule>
  </conditionalFormatting>
  <conditionalFormatting sqref="F122">
    <cfRule type="cellIs" dxfId="19" priority="6" operator="equal">
      <formula>E122</formula>
    </cfRule>
  </conditionalFormatting>
  <conditionalFormatting sqref="F123:F124 F126:F139">
    <cfRule type="cellIs" dxfId="18" priority="7" operator="equal">
      <formula>G123</formula>
    </cfRule>
    <cfRule type="cellIs" dxfId="17" priority="13" operator="equal">
      <formula>E123</formula>
    </cfRule>
  </conditionalFormatting>
  <conditionalFormatting sqref="E122:E123">
    <cfRule type="cellIs" dxfId="16" priority="15" operator="equal">
      <formula>D122</formula>
    </cfRule>
  </conditionalFormatting>
  <conditionalFormatting sqref="F122">
    <cfRule type="cellIs" dxfId="15" priority="14" operator="equal">
      <formula>E122</formula>
    </cfRule>
  </conditionalFormatting>
  <conditionalFormatting sqref="C122">
    <cfRule type="cellIs" dxfId="14" priority="17" operator="equal">
      <formula>B122</formula>
    </cfRule>
  </conditionalFormatting>
  <conditionalFormatting sqref="D122">
    <cfRule type="cellIs" dxfId="13" priority="12" operator="equal">
      <formula>C122</formula>
    </cfRule>
  </conditionalFormatting>
  <conditionalFormatting sqref="E122:E123">
    <cfRule type="cellIs" dxfId="12" priority="11" operator="equal">
      <formula>D122</formula>
    </cfRule>
  </conditionalFormatting>
  <conditionalFormatting sqref="F122">
    <cfRule type="cellIs" dxfId="11" priority="10" operator="equal">
      <formula>E122</formula>
    </cfRule>
  </conditionalFormatting>
  <conditionalFormatting sqref="C122">
    <cfRule type="cellIs" dxfId="10" priority="9" operator="equal">
      <formula>B122</formula>
    </cfRule>
  </conditionalFormatting>
  <conditionalFormatting sqref="D122">
    <cfRule type="cellIs" dxfId="9" priority="8" operator="equal">
      <formula>C122</formula>
    </cfRule>
  </conditionalFormatting>
  <conditionalFormatting sqref="E122:E123">
    <cfRule type="cellIs" dxfId="8" priority="16" operator="equal">
      <formula>D122</formula>
    </cfRule>
  </conditionalFormatting>
  <conditionalFormatting sqref="C125">
    <cfRule type="cellIs" dxfId="7" priority="3" operator="equal">
      <formula>B125</formula>
    </cfRule>
  </conditionalFormatting>
  <conditionalFormatting sqref="D125:E125">
    <cfRule type="cellIs" dxfId="6" priority="1" operator="equal">
      <formula>C125</formula>
    </cfRule>
  </conditionalFormatting>
  <conditionalFormatting sqref="F125">
    <cfRule type="cellIs" dxfId="5" priority="2" operator="equal">
      <formula>G125</formula>
    </cfRule>
    <cfRule type="cellIs" dxfId="4" priority="18" operator="equal">
      <formula>E125</formula>
    </cfRule>
  </conditionalFormatting>
  <hyperlinks>
    <hyperlink ref="H1" location="Inventory!A1" display="Inventory" xr:uid="{00000000-0004-0000-0B00-000000000000}"/>
    <hyperlink ref="I121" location="Inventory!A1" display="Inventory" xr:uid="{00000000-0004-0000-0B00-000001000000}"/>
    <hyperlink ref="I120" location="'VFA (12F) (6 ARS) FDNF'!A1" display="Top" xr:uid="{00000000-0004-0000-0B00-000002000000}"/>
    <hyperlink ref="H2" location="'VFA (12F) (6 ARS) FDNF'!A140" display="AMFOM" xr:uid="{00000000-0004-0000-0B00-000003000000}"/>
  </hyperlinks>
  <printOptions horizontalCentered="1" verticalCentered="1"/>
  <pageMargins left="0.5" right="0.25" top="0.5" bottom="0.5" header="0.5" footer="0.5"/>
  <pageSetup scale="3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47"/>
  <sheetViews>
    <sheetView showGridLines="0" zoomScaleNormal="100" zoomScaleSheetLayoutView="100" workbookViewId="0">
      <selection activeCell="H1" sqref="H1"/>
    </sheetView>
  </sheetViews>
  <sheetFormatPr defaultRowHeight="12" x14ac:dyDescent="0.2"/>
  <cols>
    <col min="1" max="1" width="42.42578125" style="256" bestFit="1" customWidth="1"/>
    <col min="2" max="2" width="5.7109375" style="252" customWidth="1"/>
    <col min="3" max="3" width="5.7109375" style="313" customWidth="1"/>
    <col min="4" max="6" width="5.7109375" style="253" customWidth="1"/>
    <col min="7" max="15" width="5.7109375" style="254" customWidth="1"/>
    <col min="16" max="17" width="5.7109375" style="255" customWidth="1"/>
    <col min="18" max="29" width="5.7109375" style="256" customWidth="1"/>
    <col min="30" max="30" width="7.7109375" style="256" bestFit="1" customWidth="1"/>
    <col min="31" max="73" width="5.7109375" style="256" customWidth="1"/>
    <col min="74" max="16384" width="9.140625" style="256"/>
  </cols>
  <sheetData>
    <row r="1" spans="1:47" s="246" customFormat="1" ht="18.75" x14ac:dyDescent="0.3">
      <c r="A1" s="463" t="s">
        <v>207</v>
      </c>
      <c r="B1" s="463"/>
      <c r="C1" s="463"/>
      <c r="D1" s="463"/>
      <c r="E1" s="463"/>
      <c r="F1" s="463"/>
      <c r="H1" s="245" t="s">
        <v>40</v>
      </c>
      <c r="L1" s="247" t="s">
        <v>41</v>
      </c>
      <c r="M1" s="464">
        <v>44835</v>
      </c>
      <c r="N1" s="464"/>
      <c r="O1" s="248"/>
      <c r="P1" s="249"/>
      <c r="Q1" s="249"/>
      <c r="AC1" s="324" t="s">
        <v>42</v>
      </c>
      <c r="AD1" s="325">
        <v>10.11</v>
      </c>
    </row>
    <row r="2" spans="1:47" x14ac:dyDescent="0.2">
      <c r="A2" s="250"/>
      <c r="B2" s="251" t="s">
        <v>208</v>
      </c>
      <c r="C2" s="252" t="s">
        <v>209</v>
      </c>
    </row>
    <row r="3" spans="1:47" x14ac:dyDescent="0.2">
      <c r="A3" s="257" t="s">
        <v>210</v>
      </c>
      <c r="B3" s="258">
        <v>16</v>
      </c>
      <c r="C3" s="422">
        <v>30</v>
      </c>
    </row>
    <row r="4" spans="1:47" x14ac:dyDescent="0.2">
      <c r="A4" s="257"/>
      <c r="B4" s="258"/>
      <c r="C4" s="422"/>
    </row>
    <row r="5" spans="1:47" x14ac:dyDescent="0.2">
      <c r="A5" s="250"/>
      <c r="B5" s="251"/>
      <c r="C5" s="252"/>
    </row>
    <row r="6" spans="1:47" x14ac:dyDescent="0.2">
      <c r="A6" s="250"/>
      <c r="B6" s="251"/>
      <c r="C6" s="252"/>
    </row>
    <row r="7" spans="1:47" ht="56.25" customHeight="1" x14ac:dyDescent="0.2">
      <c r="A7" s="8" t="s">
        <v>56</v>
      </c>
      <c r="B7" s="115" t="s">
        <v>211</v>
      </c>
      <c r="C7" s="259" t="s">
        <v>211</v>
      </c>
      <c r="F7" s="256"/>
    </row>
    <row r="8" spans="1:47" x14ac:dyDescent="0.2">
      <c r="A8" s="8" t="s">
        <v>64</v>
      </c>
      <c r="B8" s="260" t="s">
        <v>212</v>
      </c>
      <c r="C8" s="261" t="s">
        <v>213</v>
      </c>
      <c r="F8" s="256"/>
    </row>
    <row r="9" spans="1:47" s="262" customFormat="1" x14ac:dyDescent="0.2">
      <c r="A9" s="8" t="s">
        <v>93</v>
      </c>
      <c r="B9" s="11">
        <v>1</v>
      </c>
      <c r="C9" s="11">
        <v>2</v>
      </c>
      <c r="D9" s="253"/>
      <c r="E9" s="253"/>
      <c r="G9" s="254"/>
      <c r="H9" s="254"/>
      <c r="I9" s="254"/>
      <c r="J9" s="254"/>
      <c r="K9" s="254"/>
      <c r="L9" s="254"/>
      <c r="M9" s="254"/>
      <c r="N9" s="254"/>
      <c r="O9" s="254"/>
      <c r="P9" s="263"/>
      <c r="Q9" s="263"/>
    </row>
    <row r="10" spans="1:47" s="262" customFormat="1" x14ac:dyDescent="0.2">
      <c r="A10" s="8" t="s">
        <v>94</v>
      </c>
      <c r="B10" s="447" t="s">
        <v>211</v>
      </c>
      <c r="C10" s="449"/>
      <c r="D10" s="253"/>
      <c r="E10" s="253"/>
      <c r="G10" s="254"/>
      <c r="H10" s="254"/>
      <c r="I10" s="254"/>
      <c r="J10" s="254"/>
      <c r="K10" s="254"/>
      <c r="L10" s="254"/>
      <c r="M10" s="254"/>
      <c r="N10" s="254"/>
      <c r="O10" s="254"/>
      <c r="P10" s="263"/>
      <c r="Q10" s="263"/>
    </row>
    <row r="11" spans="1:47" s="262" customFormat="1" ht="12.75" x14ac:dyDescent="0.2">
      <c r="A11" s="33" t="s">
        <v>115</v>
      </c>
      <c r="B11" s="419"/>
      <c r="C11" s="421"/>
      <c r="D11" s="253"/>
      <c r="E11" s="253"/>
      <c r="G11" s="254"/>
      <c r="H11" s="290"/>
      <c r="I11" s="254"/>
      <c r="J11" s="254"/>
      <c r="K11" s="254"/>
      <c r="L11" s="254"/>
      <c r="M11" s="254"/>
      <c r="N11" s="254"/>
      <c r="O11" s="254"/>
      <c r="P11" s="263"/>
      <c r="Q11" s="263"/>
    </row>
    <row r="12" spans="1:47" s="262" customFormat="1" x14ac:dyDescent="0.2">
      <c r="A12" s="8" t="s">
        <v>116</v>
      </c>
      <c r="B12" s="178" t="s">
        <v>214</v>
      </c>
      <c r="C12" s="178" t="s">
        <v>214</v>
      </c>
      <c r="D12" s="253"/>
      <c r="E12" s="253"/>
      <c r="G12" s="254"/>
      <c r="H12" s="291"/>
      <c r="I12" s="254"/>
      <c r="J12" s="254"/>
      <c r="K12" s="254"/>
      <c r="L12" s="254"/>
      <c r="M12" s="254"/>
      <c r="N12" s="254"/>
      <c r="O12" s="254"/>
      <c r="P12" s="263"/>
      <c r="Q12" s="263"/>
    </row>
    <row r="13" spans="1:47" s="262" customFormat="1" x14ac:dyDescent="0.2">
      <c r="A13" s="8" t="s">
        <v>117</v>
      </c>
      <c r="B13" s="187">
        <v>0.75</v>
      </c>
      <c r="C13" s="178">
        <v>0.75</v>
      </c>
      <c r="D13" s="253"/>
      <c r="E13" s="253"/>
      <c r="G13" s="254"/>
      <c r="H13" s="292"/>
      <c r="I13" s="254"/>
      <c r="J13" s="254"/>
      <c r="K13" s="254"/>
      <c r="L13" s="254"/>
      <c r="M13" s="254"/>
      <c r="N13" s="254"/>
      <c r="O13" s="254"/>
      <c r="P13" s="263"/>
      <c r="Q13" s="263"/>
    </row>
    <row r="14" spans="1:47" s="262" customFormat="1" x14ac:dyDescent="0.2">
      <c r="A14" s="367" t="s">
        <v>118</v>
      </c>
      <c r="B14" s="187">
        <v>0.25</v>
      </c>
      <c r="C14" s="178">
        <v>0.25</v>
      </c>
      <c r="D14" s="253"/>
      <c r="E14" s="253"/>
      <c r="G14" s="254"/>
      <c r="H14" s="292"/>
      <c r="I14" s="254"/>
      <c r="J14" s="254"/>
      <c r="K14" s="254"/>
      <c r="L14" s="254"/>
      <c r="M14" s="254"/>
      <c r="N14" s="254"/>
      <c r="O14" s="254"/>
      <c r="P14" s="263"/>
      <c r="Q14" s="263"/>
    </row>
    <row r="15" spans="1:47" ht="12.75" x14ac:dyDescent="0.2">
      <c r="A15" s="33" t="s">
        <v>115</v>
      </c>
      <c r="B15" s="265" t="s">
        <v>208</v>
      </c>
      <c r="C15" s="266" t="s">
        <v>209</v>
      </c>
      <c r="D15" s="267"/>
      <c r="E15" s="267"/>
      <c r="F15" s="256"/>
      <c r="G15" s="268"/>
      <c r="H15" s="256"/>
      <c r="I15" s="268"/>
      <c r="J15" s="268"/>
      <c r="K15" s="268"/>
      <c r="L15" s="268"/>
      <c r="M15" s="268"/>
      <c r="N15" s="268"/>
      <c r="O15" s="268"/>
      <c r="P15" s="269"/>
      <c r="Q15" s="269"/>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row>
    <row r="16" spans="1:47" s="274" customFormat="1" x14ac:dyDescent="0.2">
      <c r="A16" s="24" t="s">
        <v>119</v>
      </c>
      <c r="B16" s="302">
        <v>17</v>
      </c>
      <c r="C16" s="303">
        <v>20</v>
      </c>
      <c r="D16" s="271"/>
      <c r="E16" s="314"/>
      <c r="F16" s="314"/>
      <c r="G16" s="315"/>
      <c r="H16" s="315"/>
      <c r="I16" s="315"/>
      <c r="J16" s="315"/>
      <c r="K16" s="315"/>
      <c r="L16" s="315"/>
      <c r="M16" s="315"/>
      <c r="N16" s="315"/>
      <c r="O16" s="315"/>
      <c r="P16" s="316"/>
      <c r="Q16" s="273"/>
    </row>
    <row r="17" spans="1:47" x14ac:dyDescent="0.2">
      <c r="A17" s="24" t="s">
        <v>120</v>
      </c>
      <c r="B17" s="304">
        <f>B16*B13</f>
        <v>12.75</v>
      </c>
      <c r="C17" s="339">
        <f>C16*C13</f>
        <v>15</v>
      </c>
      <c r="D17" s="267"/>
      <c r="E17" s="317"/>
      <c r="F17" s="317"/>
      <c r="G17" s="318"/>
      <c r="H17" s="318"/>
      <c r="I17" s="318"/>
      <c r="J17" s="318"/>
      <c r="K17" s="318"/>
      <c r="L17" s="318"/>
      <c r="M17" s="318"/>
      <c r="N17" s="318"/>
      <c r="O17" s="318"/>
      <c r="P17" s="319"/>
      <c r="Q17" s="269"/>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row>
    <row r="18" spans="1:47" x14ac:dyDescent="0.2">
      <c r="A18" s="202" t="s">
        <v>121</v>
      </c>
      <c r="B18" s="303">
        <f>B16*B14</f>
        <v>4.25</v>
      </c>
      <c r="C18" s="303">
        <f>C16*C14</f>
        <v>5</v>
      </c>
      <c r="D18" s="267"/>
      <c r="E18" s="317"/>
      <c r="F18" s="317"/>
      <c r="G18" s="318"/>
      <c r="H18" s="318"/>
      <c r="I18" s="318"/>
      <c r="J18" s="318"/>
      <c r="K18" s="318"/>
      <c r="L18" s="318"/>
      <c r="M18" s="318"/>
      <c r="N18" s="318"/>
      <c r="O18" s="318"/>
      <c r="P18" s="319"/>
      <c r="Q18" s="269"/>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row>
    <row r="19" spans="1:47" s="225" customFormat="1" ht="12.75" x14ac:dyDescent="0.2">
      <c r="A19" s="222" t="s">
        <v>122</v>
      </c>
      <c r="B19" s="223"/>
      <c r="C19" s="320"/>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224"/>
      <c r="AE19" s="224"/>
    </row>
    <row r="20" spans="1:47" ht="12.75" x14ac:dyDescent="0.2">
      <c r="A20" s="240" t="s">
        <v>123</v>
      </c>
      <c r="B20" s="303">
        <f t="shared" ref="B20:B28" si="0">$B$18</f>
        <v>4.25</v>
      </c>
      <c r="C20" s="303">
        <f t="shared" ref="C20:C28" si="1">$C$18</f>
        <v>5</v>
      </c>
      <c r="D20" s="322" t="s">
        <v>215</v>
      </c>
      <c r="E20" s="317"/>
      <c r="F20" s="317"/>
      <c r="G20" s="318"/>
      <c r="H20" s="318"/>
      <c r="I20" s="318"/>
      <c r="J20" s="318"/>
      <c r="K20" s="318"/>
      <c r="L20" s="318"/>
      <c r="M20" s="318"/>
      <c r="N20" s="318"/>
      <c r="O20" s="318"/>
      <c r="P20" s="319"/>
      <c r="Q20" s="269"/>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row>
    <row r="21" spans="1:47" ht="12.75" x14ac:dyDescent="0.2">
      <c r="A21" s="240" t="s">
        <v>124</v>
      </c>
      <c r="B21" s="303">
        <f t="shared" si="0"/>
        <v>4.25</v>
      </c>
      <c r="C21" s="303">
        <f t="shared" si="1"/>
        <v>5</v>
      </c>
      <c r="D21" s="267"/>
      <c r="E21" s="317"/>
      <c r="F21" s="317"/>
      <c r="G21" s="318"/>
      <c r="H21" s="318"/>
      <c r="I21" s="318"/>
      <c r="J21" s="318"/>
      <c r="K21" s="318"/>
      <c r="L21" s="318"/>
      <c r="M21" s="318"/>
      <c r="N21" s="318"/>
      <c r="O21" s="318"/>
      <c r="P21" s="319"/>
      <c r="Q21" s="269"/>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row>
    <row r="22" spans="1:47" ht="12.75" x14ac:dyDescent="0.2">
      <c r="A22" s="240" t="s">
        <v>125</v>
      </c>
      <c r="B22" s="303">
        <f t="shared" si="0"/>
        <v>4.25</v>
      </c>
      <c r="C22" s="303">
        <f t="shared" si="1"/>
        <v>5</v>
      </c>
      <c r="D22" s="267"/>
      <c r="E22" s="317"/>
      <c r="F22" s="317"/>
      <c r="G22" s="318"/>
      <c r="H22" s="318"/>
      <c r="I22" s="318"/>
      <c r="J22" s="318"/>
      <c r="K22" s="318"/>
      <c r="L22" s="318"/>
      <c r="M22" s="318"/>
      <c r="N22" s="318"/>
      <c r="O22" s="318"/>
      <c r="P22" s="319"/>
      <c r="Q22" s="269"/>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row>
    <row r="23" spans="1:47" ht="12.75" x14ac:dyDescent="0.2">
      <c r="A23" s="240" t="s">
        <v>126</v>
      </c>
      <c r="B23" s="303">
        <f t="shared" si="0"/>
        <v>4.25</v>
      </c>
      <c r="C23" s="303">
        <f t="shared" si="1"/>
        <v>5</v>
      </c>
      <c r="D23" s="267"/>
      <c r="E23" s="317"/>
      <c r="F23" s="317"/>
      <c r="G23" s="318"/>
      <c r="H23" s="318"/>
      <c r="I23" s="318"/>
      <c r="J23" s="318"/>
      <c r="K23" s="318"/>
      <c r="L23" s="318"/>
      <c r="M23" s="318"/>
      <c r="N23" s="318"/>
      <c r="O23" s="318"/>
      <c r="P23" s="319"/>
      <c r="Q23" s="269"/>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row>
    <row r="24" spans="1:47" ht="12.75" x14ac:dyDescent="0.2">
      <c r="A24" s="240" t="s">
        <v>127</v>
      </c>
      <c r="B24" s="303">
        <f t="shared" si="0"/>
        <v>4.25</v>
      </c>
      <c r="C24" s="303">
        <f t="shared" si="1"/>
        <v>5</v>
      </c>
      <c r="D24" s="267"/>
      <c r="E24" s="317"/>
      <c r="F24" s="317"/>
      <c r="G24" s="318"/>
      <c r="H24" s="318"/>
      <c r="I24" s="318"/>
      <c r="J24" s="318"/>
      <c r="K24" s="318"/>
      <c r="L24" s="318"/>
      <c r="M24" s="318"/>
      <c r="N24" s="318"/>
      <c r="O24" s="318"/>
      <c r="P24" s="319"/>
      <c r="Q24" s="269"/>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row>
    <row r="25" spans="1:47" ht="12.75" x14ac:dyDescent="0.2">
      <c r="A25" s="240" t="s">
        <v>128</v>
      </c>
      <c r="B25" s="303">
        <f t="shared" si="0"/>
        <v>4.25</v>
      </c>
      <c r="C25" s="303">
        <f t="shared" si="1"/>
        <v>5</v>
      </c>
      <c r="D25" s="267"/>
      <c r="E25" s="317"/>
      <c r="F25" s="317"/>
      <c r="G25" s="318"/>
      <c r="H25" s="318"/>
      <c r="I25" s="318"/>
      <c r="J25" s="318"/>
      <c r="K25" s="318"/>
      <c r="L25" s="318"/>
      <c r="M25" s="318"/>
      <c r="N25" s="318"/>
      <c r="O25" s="318"/>
      <c r="P25" s="319"/>
      <c r="Q25" s="269"/>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row>
    <row r="26" spans="1:47" ht="12.75" x14ac:dyDescent="0.2">
      <c r="A26" s="240" t="s">
        <v>129</v>
      </c>
      <c r="B26" s="303">
        <f t="shared" si="0"/>
        <v>4.25</v>
      </c>
      <c r="C26" s="303">
        <f t="shared" si="1"/>
        <v>5</v>
      </c>
      <c r="D26" s="267"/>
      <c r="E26" s="317"/>
      <c r="F26" s="317"/>
      <c r="G26" s="318"/>
      <c r="H26" s="318"/>
      <c r="I26" s="318"/>
      <c r="J26" s="318"/>
      <c r="K26" s="318"/>
      <c r="L26" s="318"/>
      <c r="M26" s="318"/>
      <c r="N26" s="318"/>
      <c r="O26" s="318"/>
      <c r="P26" s="319"/>
      <c r="Q26" s="269"/>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row>
    <row r="27" spans="1:47" ht="12.75" x14ac:dyDescent="0.2">
      <c r="A27" s="240" t="s">
        <v>130</v>
      </c>
      <c r="B27" s="303">
        <f t="shared" si="0"/>
        <v>4.25</v>
      </c>
      <c r="C27" s="303">
        <f t="shared" si="1"/>
        <v>5</v>
      </c>
      <c r="D27" s="267"/>
      <c r="E27" s="267"/>
      <c r="F27" s="267"/>
      <c r="G27" s="268"/>
      <c r="H27" s="268"/>
      <c r="I27" s="268"/>
      <c r="J27" s="268"/>
      <c r="K27" s="268"/>
      <c r="L27" s="268"/>
      <c r="M27" s="268"/>
      <c r="N27" s="268"/>
      <c r="O27" s="268"/>
      <c r="P27" s="269"/>
      <c r="Q27" s="269"/>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row>
    <row r="28" spans="1:47" ht="12.75" x14ac:dyDescent="0.2">
      <c r="A28" s="240" t="s">
        <v>131</v>
      </c>
      <c r="B28" s="303">
        <f t="shared" si="0"/>
        <v>4.25</v>
      </c>
      <c r="C28" s="303">
        <f t="shared" si="1"/>
        <v>5</v>
      </c>
      <c r="D28" s="267"/>
      <c r="E28" s="267"/>
      <c r="F28" s="267"/>
      <c r="G28" s="268"/>
      <c r="H28" s="268"/>
      <c r="I28" s="268"/>
      <c r="J28" s="268"/>
      <c r="K28" s="268"/>
      <c r="L28" s="268"/>
      <c r="M28" s="268"/>
      <c r="N28" s="268"/>
      <c r="O28" s="268"/>
      <c r="P28" s="269"/>
      <c r="Q28" s="269"/>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row>
    <row r="29" spans="1:47" ht="12.75" x14ac:dyDescent="0.2">
      <c r="A29" s="240" t="s">
        <v>132</v>
      </c>
      <c r="B29" s="303">
        <v>12.75</v>
      </c>
      <c r="C29" s="303">
        <v>15</v>
      </c>
      <c r="D29" s="267"/>
      <c r="E29" s="267"/>
      <c r="F29" s="267"/>
      <c r="G29" s="268"/>
      <c r="H29" s="268"/>
      <c r="I29" s="268"/>
      <c r="J29" s="268"/>
      <c r="K29" s="268"/>
      <c r="L29" s="268"/>
      <c r="M29" s="268"/>
      <c r="N29" s="268"/>
      <c r="O29" s="268"/>
      <c r="P29" s="269"/>
      <c r="Q29" s="269"/>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row>
    <row r="30" spans="1:47" ht="12.75" x14ac:dyDescent="0.2">
      <c r="A30" s="226" t="s">
        <v>133</v>
      </c>
      <c r="B30" s="308"/>
      <c r="C30" s="308"/>
      <c r="D30" s="267"/>
      <c r="E30" s="267"/>
      <c r="F30" s="267"/>
      <c r="G30" s="268"/>
      <c r="H30" s="268"/>
      <c r="I30" s="268"/>
      <c r="J30" s="268"/>
      <c r="K30" s="268"/>
      <c r="L30" s="268"/>
      <c r="M30" s="268"/>
      <c r="N30" s="268"/>
      <c r="O30" s="268"/>
      <c r="P30" s="269"/>
      <c r="Q30" s="269"/>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row>
    <row r="31" spans="1:47" x14ac:dyDescent="0.2">
      <c r="A31" s="298" t="s">
        <v>134</v>
      </c>
      <c r="B31" s="308">
        <v>4</v>
      </c>
      <c r="C31" s="308">
        <v>4</v>
      </c>
      <c r="D31" s="267"/>
      <c r="E31" s="267"/>
      <c r="F31" s="267"/>
      <c r="G31" s="268"/>
      <c r="H31" s="268"/>
      <c r="I31" s="268"/>
      <c r="J31" s="268"/>
      <c r="K31" s="268"/>
      <c r="L31" s="268"/>
      <c r="M31" s="268"/>
      <c r="N31" s="268"/>
      <c r="O31" s="268"/>
      <c r="P31" s="269"/>
      <c r="Q31" s="269"/>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row>
    <row r="32" spans="1:47" x14ac:dyDescent="0.2">
      <c r="A32" s="299" t="s">
        <v>135</v>
      </c>
      <c r="B32" s="308">
        <v>4</v>
      </c>
      <c r="C32" s="308">
        <v>4</v>
      </c>
      <c r="D32" s="267"/>
      <c r="E32" s="267"/>
      <c r="F32" s="267"/>
      <c r="G32" s="268"/>
      <c r="H32" s="268"/>
      <c r="I32" s="268"/>
      <c r="J32" s="268"/>
      <c r="K32" s="268"/>
      <c r="L32" s="268"/>
      <c r="M32" s="268"/>
      <c r="N32" s="268"/>
      <c r="O32" s="268"/>
      <c r="P32" s="269"/>
      <c r="Q32" s="269"/>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row>
    <row r="33" spans="1:47" x14ac:dyDescent="0.2">
      <c r="A33" s="300" t="s">
        <v>136</v>
      </c>
      <c r="B33" s="308">
        <v>2</v>
      </c>
      <c r="C33" s="308">
        <v>2</v>
      </c>
      <c r="D33" s="267"/>
      <c r="E33" s="267"/>
      <c r="F33" s="267"/>
      <c r="G33" s="268"/>
      <c r="H33" s="268"/>
      <c r="I33" s="268"/>
      <c r="J33" s="268"/>
      <c r="K33" s="268"/>
      <c r="L33" s="268"/>
      <c r="M33" s="268"/>
      <c r="N33" s="268"/>
      <c r="O33" s="268"/>
      <c r="P33" s="269"/>
      <c r="Q33" s="269"/>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row>
    <row r="34" spans="1:47" x14ac:dyDescent="0.2">
      <c r="A34" s="301" t="s">
        <v>137</v>
      </c>
      <c r="B34" s="308"/>
      <c r="C34" s="308"/>
      <c r="D34" s="267"/>
      <c r="E34" s="267"/>
      <c r="F34" s="267"/>
      <c r="G34" s="268"/>
      <c r="H34" s="268"/>
      <c r="I34" s="268"/>
      <c r="J34" s="268"/>
      <c r="K34" s="268"/>
      <c r="L34" s="268"/>
      <c r="M34" s="268"/>
      <c r="N34" s="268"/>
      <c r="O34" s="268"/>
      <c r="P34" s="269"/>
      <c r="Q34" s="269"/>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row>
    <row r="35" spans="1:47" ht="12.75" x14ac:dyDescent="0.2">
      <c r="A35" s="226" t="s">
        <v>143</v>
      </c>
      <c r="B35" s="309"/>
      <c r="C35" s="310"/>
      <c r="D35" s="267"/>
      <c r="E35" s="267"/>
      <c r="F35" s="267"/>
      <c r="G35" s="268"/>
      <c r="H35" s="268"/>
      <c r="I35" s="268"/>
      <c r="J35" s="268"/>
      <c r="K35" s="268"/>
      <c r="L35" s="268"/>
      <c r="M35" s="268"/>
      <c r="N35" s="268"/>
      <c r="O35" s="268"/>
      <c r="P35" s="269"/>
      <c r="Q35" s="269"/>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row>
    <row r="36" spans="1:47" s="274" customFormat="1" x14ac:dyDescent="0.2">
      <c r="A36" s="24" t="s">
        <v>144</v>
      </c>
      <c r="B36" s="275">
        <v>0.8</v>
      </c>
      <c r="C36" s="275">
        <v>0.8</v>
      </c>
      <c r="D36" s="271"/>
      <c r="E36" s="271"/>
      <c r="F36" s="271"/>
      <c r="G36" s="272"/>
      <c r="H36" s="272"/>
      <c r="I36" s="272"/>
      <c r="J36" s="272"/>
      <c r="K36" s="272"/>
      <c r="L36" s="272"/>
      <c r="M36" s="272"/>
      <c r="N36" s="272"/>
      <c r="O36" s="272"/>
      <c r="P36" s="273"/>
      <c r="Q36" s="273"/>
    </row>
    <row r="37" spans="1:47" x14ac:dyDescent="0.2">
      <c r="A37" s="24" t="s">
        <v>145</v>
      </c>
      <c r="B37" s="275">
        <v>0.8</v>
      </c>
      <c r="C37" s="275">
        <v>0.8</v>
      </c>
      <c r="D37" s="267"/>
      <c r="E37" s="267"/>
      <c r="F37" s="267"/>
      <c r="G37" s="268"/>
      <c r="H37" s="268"/>
      <c r="I37" s="268"/>
      <c r="J37" s="268"/>
      <c r="K37" s="268"/>
      <c r="L37" s="268"/>
      <c r="M37" s="268"/>
      <c r="N37" s="268"/>
      <c r="O37" s="268"/>
      <c r="P37" s="269"/>
      <c r="Q37" s="269"/>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row>
    <row r="38" spans="1:47" x14ac:dyDescent="0.2">
      <c r="A38" s="24" t="s">
        <v>146</v>
      </c>
      <c r="B38" s="275">
        <v>0.75</v>
      </c>
      <c r="C38" s="275">
        <v>0.75</v>
      </c>
      <c r="D38" s="267"/>
      <c r="E38" s="267"/>
      <c r="F38" s="267"/>
      <c r="G38" s="268"/>
      <c r="H38" s="268"/>
      <c r="I38" s="268"/>
      <c r="J38" s="268"/>
      <c r="K38" s="268"/>
      <c r="L38" s="268"/>
      <c r="M38" s="268"/>
      <c r="N38" s="268"/>
      <c r="O38" s="268"/>
      <c r="P38" s="269"/>
      <c r="Q38" s="269"/>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row>
    <row r="39" spans="1:47" x14ac:dyDescent="0.2">
      <c r="A39" s="270"/>
      <c r="B39" s="311"/>
      <c r="C39" s="312"/>
      <c r="D39" s="267"/>
      <c r="E39" s="267"/>
      <c r="F39" s="267"/>
      <c r="G39" s="268"/>
      <c r="H39" s="268"/>
      <c r="I39" s="268"/>
      <c r="J39" s="268"/>
      <c r="K39" s="268"/>
      <c r="L39" s="268"/>
      <c r="M39" s="268"/>
      <c r="N39" s="268"/>
      <c r="O39" s="268"/>
      <c r="P39" s="269"/>
      <c r="Q39" s="269"/>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row>
    <row r="40" spans="1:47" x14ac:dyDescent="0.2">
      <c r="A40" s="270"/>
      <c r="B40" s="311"/>
      <c r="C40" s="312"/>
      <c r="D40" s="267"/>
      <c r="E40" s="267"/>
      <c r="F40" s="267"/>
      <c r="G40" s="268"/>
      <c r="H40" s="268"/>
      <c r="I40" s="268"/>
      <c r="J40" s="268"/>
      <c r="K40" s="268"/>
      <c r="L40" s="268"/>
      <c r="M40" s="268"/>
      <c r="N40" s="268"/>
      <c r="O40" s="268"/>
      <c r="P40" s="269"/>
      <c r="Q40" s="269"/>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row>
    <row r="41" spans="1:47" x14ac:dyDescent="0.2">
      <c r="A41" s="270"/>
      <c r="B41" s="311"/>
      <c r="C41" s="312"/>
      <c r="D41" s="267"/>
      <c r="E41" s="267"/>
      <c r="F41" s="267"/>
      <c r="G41" s="268"/>
      <c r="H41" s="268"/>
      <c r="I41" s="268"/>
      <c r="J41" s="268"/>
      <c r="K41" s="268"/>
      <c r="L41" s="268"/>
      <c r="M41" s="268"/>
      <c r="N41" s="268"/>
      <c r="O41" s="268"/>
      <c r="P41" s="269"/>
      <c r="Q41" s="269"/>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row>
    <row r="42" spans="1:47" x14ac:dyDescent="0.2">
      <c r="A42" s="270"/>
      <c r="B42" s="311"/>
      <c r="C42" s="312"/>
      <c r="D42" s="267"/>
      <c r="E42" s="267"/>
      <c r="F42" s="267"/>
      <c r="G42" s="268"/>
      <c r="H42" s="268"/>
      <c r="I42" s="268"/>
      <c r="J42" s="268"/>
      <c r="K42" s="268"/>
      <c r="L42" s="268"/>
      <c r="M42" s="268"/>
      <c r="N42" s="268"/>
      <c r="O42" s="268"/>
      <c r="P42" s="269"/>
      <c r="Q42" s="269"/>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row>
    <row r="43" spans="1:47" x14ac:dyDescent="0.2">
      <c r="A43" s="270"/>
      <c r="B43" s="311"/>
      <c r="C43" s="312"/>
      <c r="D43" s="267"/>
      <c r="E43" s="267"/>
      <c r="F43" s="267"/>
      <c r="G43" s="268"/>
      <c r="H43" s="268"/>
      <c r="I43" s="268"/>
      <c r="J43" s="268"/>
      <c r="K43" s="268"/>
      <c r="L43" s="268"/>
      <c r="M43" s="268"/>
      <c r="N43" s="268"/>
      <c r="O43" s="268"/>
      <c r="P43" s="269"/>
      <c r="Q43" s="269"/>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row>
    <row r="44" spans="1:47" x14ac:dyDescent="0.2">
      <c r="A44" s="270"/>
      <c r="B44" s="311"/>
      <c r="C44" s="312"/>
      <c r="D44" s="267"/>
      <c r="E44" s="267"/>
      <c r="F44" s="267"/>
      <c r="G44" s="268"/>
      <c r="H44" s="268"/>
      <c r="I44" s="268"/>
      <c r="J44" s="268"/>
      <c r="K44" s="268"/>
      <c r="L44" s="268"/>
      <c r="M44" s="268"/>
      <c r="N44" s="268"/>
      <c r="O44" s="268"/>
      <c r="P44" s="269"/>
      <c r="Q44" s="269"/>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row>
    <row r="45" spans="1:47" x14ac:dyDescent="0.2">
      <c r="A45" s="270"/>
      <c r="B45" s="311"/>
      <c r="C45" s="312"/>
      <c r="D45" s="267"/>
      <c r="E45" s="267"/>
      <c r="F45" s="267"/>
      <c r="G45" s="268"/>
      <c r="H45" s="268"/>
      <c r="I45" s="268"/>
      <c r="J45" s="268"/>
      <c r="K45" s="268"/>
      <c r="L45" s="268"/>
      <c r="M45" s="268"/>
      <c r="N45" s="268"/>
      <c r="O45" s="268"/>
      <c r="P45" s="269"/>
      <c r="Q45" s="269"/>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row>
    <row r="46" spans="1:47" x14ac:dyDescent="0.2">
      <c r="A46" s="270"/>
      <c r="B46" s="311"/>
      <c r="C46" s="312"/>
      <c r="D46" s="267"/>
      <c r="E46" s="267"/>
      <c r="F46" s="267"/>
      <c r="G46" s="268"/>
      <c r="H46" s="268"/>
      <c r="I46" s="268"/>
      <c r="J46" s="268"/>
      <c r="K46" s="268"/>
      <c r="L46" s="268"/>
      <c r="M46" s="268"/>
      <c r="N46" s="268"/>
      <c r="O46" s="268"/>
      <c r="P46" s="269"/>
      <c r="Q46" s="269"/>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row>
    <row r="47" spans="1:47" x14ac:dyDescent="0.2">
      <c r="A47" s="270"/>
      <c r="B47" s="311"/>
      <c r="C47" s="312"/>
      <c r="D47" s="267"/>
      <c r="E47" s="267"/>
      <c r="F47" s="267"/>
      <c r="G47" s="268"/>
      <c r="H47" s="268"/>
      <c r="I47" s="268"/>
      <c r="J47" s="268"/>
      <c r="K47" s="268"/>
      <c r="L47" s="268"/>
      <c r="M47" s="268"/>
      <c r="N47" s="268"/>
      <c r="O47" s="268"/>
      <c r="P47" s="269"/>
      <c r="Q47" s="269"/>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row>
  </sheetData>
  <mergeCells count="3">
    <mergeCell ref="A1:F1"/>
    <mergeCell ref="M1:N1"/>
    <mergeCell ref="B10:C10"/>
  </mergeCells>
  <hyperlinks>
    <hyperlink ref="H1" location="Inventory!A1" display="Inventory" xr:uid="{00000000-0004-0000-0C00-000000000000}"/>
  </hyperlinks>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47"/>
  <sheetViews>
    <sheetView showGridLines="0" topLeftCell="A9" zoomScaleNormal="100" zoomScaleSheetLayoutView="100" workbookViewId="0">
      <selection sqref="A1:F1"/>
    </sheetView>
  </sheetViews>
  <sheetFormatPr defaultRowHeight="12" x14ac:dyDescent="0.2"/>
  <cols>
    <col min="1" max="1" width="42.42578125" style="256" bestFit="1" customWidth="1"/>
    <col min="2" max="2" width="5.7109375" style="252" customWidth="1"/>
    <col min="3" max="3" width="5.7109375" style="313" customWidth="1"/>
    <col min="4" max="6" width="5.7109375" style="253" customWidth="1"/>
    <col min="7" max="15" width="5.7109375" style="254" customWidth="1"/>
    <col min="16" max="17" width="5.7109375" style="255" customWidth="1"/>
    <col min="18" max="29" width="5.7109375" style="256" customWidth="1"/>
    <col min="30" max="30" width="7.7109375" style="256" bestFit="1" customWidth="1"/>
    <col min="31" max="73" width="5.7109375" style="256" customWidth="1"/>
    <col min="74" max="16384" width="9.140625" style="256"/>
  </cols>
  <sheetData>
    <row r="1" spans="1:47" s="246" customFormat="1" ht="18.75" x14ac:dyDescent="0.3">
      <c r="A1" s="463" t="s">
        <v>216</v>
      </c>
      <c r="B1" s="463"/>
      <c r="C1" s="463"/>
      <c r="D1" s="463"/>
      <c r="E1" s="463"/>
      <c r="F1" s="463"/>
      <c r="H1" s="245" t="s">
        <v>40</v>
      </c>
      <c r="L1" s="247" t="s">
        <v>41</v>
      </c>
      <c r="M1" s="464">
        <v>44835</v>
      </c>
      <c r="N1" s="464"/>
      <c r="O1" s="248"/>
      <c r="P1" s="249"/>
      <c r="Q1" s="249"/>
      <c r="AC1" s="324" t="s">
        <v>42</v>
      </c>
      <c r="AD1" s="325">
        <v>10.119999999999999</v>
      </c>
    </row>
    <row r="2" spans="1:47" x14ac:dyDescent="0.2">
      <c r="A2" s="250"/>
      <c r="B2" s="251" t="s">
        <v>208</v>
      </c>
      <c r="C2" s="252" t="s">
        <v>209</v>
      </c>
    </row>
    <row r="3" spans="1:47" x14ac:dyDescent="0.2">
      <c r="A3" s="257" t="s">
        <v>217</v>
      </c>
      <c r="B3" s="258">
        <v>14</v>
      </c>
      <c r="C3" s="422">
        <v>30</v>
      </c>
    </row>
    <row r="4" spans="1:47" x14ac:dyDescent="0.2">
      <c r="B4" s="258"/>
      <c r="C4" s="422"/>
    </row>
    <row r="5" spans="1:47" x14ac:dyDescent="0.2">
      <c r="A5" s="250"/>
      <c r="B5" s="251"/>
      <c r="C5" s="252"/>
    </row>
    <row r="6" spans="1:47" x14ac:dyDescent="0.2">
      <c r="A6" s="250"/>
      <c r="B6" s="251"/>
      <c r="C6" s="252"/>
    </row>
    <row r="7" spans="1:47" ht="56.25" customHeight="1" x14ac:dyDescent="0.2">
      <c r="A7" s="8" t="s">
        <v>56</v>
      </c>
      <c r="B7" s="115" t="s">
        <v>211</v>
      </c>
      <c r="C7" s="259" t="s">
        <v>211</v>
      </c>
      <c r="F7" s="256"/>
    </row>
    <row r="8" spans="1:47" x14ac:dyDescent="0.2">
      <c r="A8" s="8" t="s">
        <v>64</v>
      </c>
      <c r="B8" s="260" t="s">
        <v>212</v>
      </c>
      <c r="C8" s="261" t="s">
        <v>213</v>
      </c>
      <c r="F8" s="256"/>
    </row>
    <row r="9" spans="1:47" s="262" customFormat="1" x14ac:dyDescent="0.2">
      <c r="A9" s="8" t="s">
        <v>93</v>
      </c>
      <c r="B9" s="11">
        <v>1</v>
      </c>
      <c r="C9" s="11">
        <v>2</v>
      </c>
      <c r="D9" s="253"/>
      <c r="E9" s="253"/>
      <c r="G9" s="254"/>
      <c r="H9" s="254"/>
      <c r="I9" s="254"/>
      <c r="J9" s="254"/>
      <c r="K9" s="254"/>
      <c r="L9" s="254"/>
      <c r="M9" s="254"/>
      <c r="N9" s="254"/>
      <c r="O9" s="254"/>
      <c r="P9" s="263"/>
      <c r="Q9" s="263"/>
    </row>
    <row r="10" spans="1:47" s="262" customFormat="1" x14ac:dyDescent="0.2">
      <c r="A10" s="8" t="s">
        <v>94</v>
      </c>
      <c r="B10" s="447" t="s">
        <v>211</v>
      </c>
      <c r="C10" s="449"/>
      <c r="D10" s="253"/>
      <c r="E10" s="253"/>
      <c r="G10" s="254"/>
      <c r="H10" s="254"/>
      <c r="I10" s="254"/>
      <c r="J10" s="254"/>
      <c r="K10" s="254"/>
      <c r="L10" s="254"/>
      <c r="M10" s="254"/>
      <c r="N10" s="254"/>
      <c r="O10" s="254"/>
      <c r="P10" s="263"/>
      <c r="Q10" s="263"/>
    </row>
    <row r="11" spans="1:47" s="262" customFormat="1" ht="12.75" x14ac:dyDescent="0.2">
      <c r="A11" s="33" t="s">
        <v>115</v>
      </c>
      <c r="B11" s="419"/>
      <c r="C11" s="421"/>
      <c r="D11" s="253"/>
      <c r="E11" s="253"/>
      <c r="G11" s="254"/>
      <c r="H11" s="290"/>
      <c r="I11" s="254"/>
      <c r="J11" s="254"/>
      <c r="K11" s="254"/>
      <c r="L11" s="254"/>
      <c r="M11" s="254"/>
      <c r="N11" s="254"/>
      <c r="O11" s="254"/>
      <c r="P11" s="263"/>
      <c r="Q11" s="263"/>
    </row>
    <row r="12" spans="1:47" s="262" customFormat="1" x14ac:dyDescent="0.2">
      <c r="A12" s="8" t="s">
        <v>116</v>
      </c>
      <c r="B12" s="178" t="s">
        <v>214</v>
      </c>
      <c r="C12" s="178" t="s">
        <v>214</v>
      </c>
      <c r="D12" s="253"/>
      <c r="E12" s="253"/>
      <c r="G12" s="254"/>
      <c r="H12" s="291"/>
      <c r="I12" s="254"/>
      <c r="J12" s="254"/>
      <c r="K12" s="254"/>
      <c r="L12" s="254"/>
      <c r="M12" s="254"/>
      <c r="N12" s="254"/>
      <c r="O12" s="254"/>
      <c r="P12" s="263"/>
      <c r="Q12" s="263"/>
    </row>
    <row r="13" spans="1:47" s="262" customFormat="1" x14ac:dyDescent="0.2">
      <c r="A13" s="8" t="s">
        <v>117</v>
      </c>
      <c r="B13" s="187">
        <v>0.75</v>
      </c>
      <c r="C13" s="178">
        <v>0.75</v>
      </c>
      <c r="D13" s="253"/>
      <c r="E13" s="253"/>
      <c r="G13" s="254"/>
      <c r="H13" s="292"/>
      <c r="I13" s="254"/>
      <c r="J13" s="254"/>
      <c r="K13" s="254"/>
      <c r="L13" s="254"/>
      <c r="M13" s="254"/>
      <c r="N13" s="254"/>
      <c r="O13" s="254"/>
      <c r="P13" s="263"/>
      <c r="Q13" s="263"/>
    </row>
    <row r="14" spans="1:47" s="262" customFormat="1" x14ac:dyDescent="0.2">
      <c r="A14" s="367"/>
      <c r="B14" s="187">
        <v>0.25</v>
      </c>
      <c r="C14" s="178">
        <v>0.25</v>
      </c>
      <c r="D14" s="253"/>
      <c r="E14" s="253"/>
      <c r="G14" s="254"/>
      <c r="H14" s="292"/>
      <c r="I14" s="254"/>
      <c r="J14" s="254"/>
      <c r="K14" s="254"/>
      <c r="L14" s="254"/>
      <c r="M14" s="254"/>
      <c r="N14" s="254"/>
      <c r="O14" s="254"/>
      <c r="P14" s="263"/>
      <c r="Q14" s="263"/>
    </row>
    <row r="15" spans="1:47" ht="12.75" x14ac:dyDescent="0.2">
      <c r="A15" s="264" t="s">
        <v>218</v>
      </c>
      <c r="B15" s="265" t="s">
        <v>208</v>
      </c>
      <c r="C15" s="266" t="s">
        <v>209</v>
      </c>
      <c r="D15" s="267"/>
      <c r="E15" s="267"/>
      <c r="F15" s="267"/>
      <c r="G15" s="268"/>
      <c r="H15" s="268"/>
      <c r="I15" s="268"/>
      <c r="J15" s="268"/>
      <c r="K15" s="268"/>
      <c r="L15" s="268"/>
      <c r="M15" s="268"/>
      <c r="N15" s="268"/>
      <c r="O15" s="268"/>
      <c r="P15" s="269"/>
      <c r="Q15" s="269"/>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row>
    <row r="16" spans="1:47" s="274" customFormat="1" x14ac:dyDescent="0.2">
      <c r="A16" s="24" t="s">
        <v>119</v>
      </c>
      <c r="B16" s="305">
        <v>18</v>
      </c>
      <c r="C16" s="306">
        <v>20</v>
      </c>
      <c r="D16" s="271"/>
      <c r="E16" s="271"/>
      <c r="F16" s="271"/>
      <c r="G16" s="272"/>
      <c r="H16" s="272"/>
      <c r="I16" s="272"/>
      <c r="J16" s="272"/>
      <c r="K16" s="272"/>
      <c r="L16" s="272"/>
      <c r="M16" s="272"/>
      <c r="N16" s="272"/>
      <c r="O16" s="272"/>
      <c r="P16" s="273"/>
      <c r="Q16" s="273"/>
    </row>
    <row r="17" spans="1:47" x14ac:dyDescent="0.2">
      <c r="A17" s="24" t="s">
        <v>120</v>
      </c>
      <c r="B17" s="307">
        <f>B16*B13</f>
        <v>13.5</v>
      </c>
      <c r="C17" s="308">
        <f>C16*C13</f>
        <v>15</v>
      </c>
      <c r="D17" s="267"/>
      <c r="E17" s="267"/>
      <c r="F17" s="267"/>
      <c r="G17" s="268"/>
      <c r="H17" s="268"/>
      <c r="I17" s="268"/>
      <c r="J17" s="268"/>
      <c r="K17" s="268"/>
      <c r="L17" s="268"/>
      <c r="M17" s="268"/>
      <c r="N17" s="268"/>
      <c r="O17" s="268"/>
      <c r="P17" s="269"/>
      <c r="Q17" s="269"/>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row>
    <row r="18" spans="1:47" x14ac:dyDescent="0.2">
      <c r="A18" s="202" t="s">
        <v>121</v>
      </c>
      <c r="B18" s="308">
        <f>B16*B14</f>
        <v>4.5</v>
      </c>
      <c r="C18" s="308">
        <f>C16*C14</f>
        <v>5</v>
      </c>
      <c r="D18" s="267"/>
      <c r="E18" s="267"/>
      <c r="F18" s="267"/>
      <c r="G18" s="268"/>
      <c r="H18" s="268"/>
      <c r="I18" s="268"/>
      <c r="J18" s="268"/>
      <c r="K18" s="268"/>
      <c r="L18" s="268"/>
      <c r="M18" s="268"/>
      <c r="N18" s="268"/>
      <c r="O18" s="268"/>
      <c r="P18" s="269"/>
      <c r="Q18" s="269"/>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row>
    <row r="19" spans="1:47" s="225" customFormat="1" ht="12.75" x14ac:dyDescent="0.2">
      <c r="A19" s="222" t="s">
        <v>122</v>
      </c>
      <c r="B19" s="223"/>
      <c r="C19" s="320"/>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224"/>
      <c r="AE19" s="224"/>
    </row>
    <row r="20" spans="1:47" ht="12.75" x14ac:dyDescent="0.2">
      <c r="A20" s="240" t="s">
        <v>123</v>
      </c>
      <c r="B20" s="303">
        <f t="shared" ref="B20:B28" si="0">$B$18</f>
        <v>4.5</v>
      </c>
      <c r="C20" s="303">
        <f t="shared" ref="C20:C28" si="1">$C$18</f>
        <v>5</v>
      </c>
      <c r="D20" s="322" t="s">
        <v>215</v>
      </c>
      <c r="E20" s="267"/>
      <c r="F20" s="267"/>
      <c r="G20" s="268"/>
      <c r="H20" s="268"/>
      <c r="I20" s="268"/>
      <c r="J20" s="268"/>
      <c r="K20" s="268"/>
      <c r="L20" s="268"/>
      <c r="M20" s="268"/>
      <c r="N20" s="268"/>
      <c r="O20" s="268"/>
      <c r="P20" s="269"/>
      <c r="Q20" s="269"/>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row>
    <row r="21" spans="1:47" ht="12.75" x14ac:dyDescent="0.2">
      <c r="A21" s="240" t="s">
        <v>124</v>
      </c>
      <c r="B21" s="303">
        <f t="shared" si="0"/>
        <v>4.5</v>
      </c>
      <c r="C21" s="303">
        <f t="shared" si="1"/>
        <v>5</v>
      </c>
      <c r="D21" s="267"/>
      <c r="E21" s="267"/>
      <c r="F21" s="267"/>
      <c r="G21" s="268"/>
      <c r="H21" s="268"/>
      <c r="I21" s="268"/>
      <c r="J21" s="268"/>
      <c r="K21" s="268"/>
      <c r="L21" s="268"/>
      <c r="M21" s="268"/>
      <c r="N21" s="268"/>
      <c r="O21" s="268"/>
      <c r="P21" s="269"/>
      <c r="Q21" s="269"/>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row>
    <row r="22" spans="1:47" ht="12.75" x14ac:dyDescent="0.2">
      <c r="A22" s="240" t="s">
        <v>125</v>
      </c>
      <c r="B22" s="303">
        <f t="shared" si="0"/>
        <v>4.5</v>
      </c>
      <c r="C22" s="303">
        <f t="shared" si="1"/>
        <v>5</v>
      </c>
      <c r="D22" s="267"/>
      <c r="E22" s="267"/>
      <c r="F22" s="267"/>
      <c r="G22" s="268"/>
      <c r="H22" s="268"/>
      <c r="I22" s="268"/>
      <c r="J22" s="268"/>
      <c r="K22" s="268"/>
      <c r="L22" s="268"/>
      <c r="M22" s="268"/>
      <c r="N22" s="268"/>
      <c r="O22" s="268"/>
      <c r="P22" s="269"/>
      <c r="Q22" s="269"/>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row>
    <row r="23" spans="1:47" ht="12.75" x14ac:dyDescent="0.2">
      <c r="A23" s="240" t="s">
        <v>126</v>
      </c>
      <c r="B23" s="303">
        <f t="shared" si="0"/>
        <v>4.5</v>
      </c>
      <c r="C23" s="303">
        <f t="shared" si="1"/>
        <v>5</v>
      </c>
      <c r="D23" s="267"/>
      <c r="E23" s="267"/>
      <c r="F23" s="267"/>
      <c r="G23" s="268"/>
      <c r="H23" s="268"/>
      <c r="I23" s="268"/>
      <c r="J23" s="268"/>
      <c r="K23" s="268"/>
      <c r="L23" s="268"/>
      <c r="M23" s="268"/>
      <c r="N23" s="268"/>
      <c r="O23" s="268"/>
      <c r="P23" s="269"/>
      <c r="Q23" s="269"/>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row>
    <row r="24" spans="1:47" ht="12.75" x14ac:dyDescent="0.2">
      <c r="A24" s="240" t="s">
        <v>127</v>
      </c>
      <c r="B24" s="303">
        <f t="shared" si="0"/>
        <v>4.5</v>
      </c>
      <c r="C24" s="303">
        <f t="shared" si="1"/>
        <v>5</v>
      </c>
      <c r="D24" s="267"/>
      <c r="E24" s="267"/>
      <c r="F24" s="267"/>
      <c r="G24" s="268"/>
      <c r="H24" s="268"/>
      <c r="I24" s="268"/>
      <c r="J24" s="268"/>
      <c r="K24" s="268"/>
      <c r="L24" s="268"/>
      <c r="M24" s="268"/>
      <c r="N24" s="268"/>
      <c r="O24" s="268"/>
      <c r="P24" s="269"/>
      <c r="Q24" s="269"/>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row>
    <row r="25" spans="1:47" ht="12.75" x14ac:dyDescent="0.2">
      <c r="A25" s="240" t="s">
        <v>128</v>
      </c>
      <c r="B25" s="303">
        <f t="shared" si="0"/>
        <v>4.5</v>
      </c>
      <c r="C25" s="303">
        <f t="shared" si="1"/>
        <v>5</v>
      </c>
      <c r="D25" s="267"/>
      <c r="E25" s="267"/>
      <c r="F25" s="267"/>
      <c r="G25" s="268"/>
      <c r="H25" s="268"/>
      <c r="I25" s="268"/>
      <c r="J25" s="268"/>
      <c r="K25" s="268"/>
      <c r="L25" s="268"/>
      <c r="M25" s="268"/>
      <c r="N25" s="268"/>
      <c r="O25" s="268"/>
      <c r="P25" s="269"/>
      <c r="Q25" s="269"/>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row>
    <row r="26" spans="1:47" ht="12.75" x14ac:dyDescent="0.2">
      <c r="A26" s="240" t="s">
        <v>129</v>
      </c>
      <c r="B26" s="303">
        <f t="shared" si="0"/>
        <v>4.5</v>
      </c>
      <c r="C26" s="303">
        <f t="shared" si="1"/>
        <v>5</v>
      </c>
      <c r="D26" s="267"/>
      <c r="E26" s="267"/>
      <c r="F26" s="267"/>
      <c r="G26" s="268"/>
      <c r="H26" s="268"/>
      <c r="I26" s="268"/>
      <c r="J26" s="268"/>
      <c r="K26" s="268"/>
      <c r="L26" s="268"/>
      <c r="M26" s="268"/>
      <c r="N26" s="268"/>
      <c r="O26" s="268"/>
      <c r="P26" s="269"/>
      <c r="Q26" s="269"/>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row>
    <row r="27" spans="1:47" ht="12.75" x14ac:dyDescent="0.2">
      <c r="A27" s="240" t="s">
        <v>130</v>
      </c>
      <c r="B27" s="303">
        <f t="shared" si="0"/>
        <v>4.5</v>
      </c>
      <c r="C27" s="303">
        <f t="shared" si="1"/>
        <v>5</v>
      </c>
      <c r="D27" s="267"/>
      <c r="E27" s="267"/>
      <c r="F27" s="267"/>
      <c r="G27" s="268"/>
      <c r="H27" s="268"/>
      <c r="I27" s="268"/>
      <c r="J27" s="268"/>
      <c r="K27" s="268"/>
      <c r="L27" s="268"/>
      <c r="M27" s="268"/>
      <c r="N27" s="268"/>
      <c r="O27" s="268"/>
      <c r="P27" s="269"/>
      <c r="Q27" s="269"/>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row>
    <row r="28" spans="1:47" ht="12.75" x14ac:dyDescent="0.2">
      <c r="A28" s="240" t="s">
        <v>131</v>
      </c>
      <c r="B28" s="303">
        <f t="shared" si="0"/>
        <v>4.5</v>
      </c>
      <c r="C28" s="303">
        <f t="shared" si="1"/>
        <v>5</v>
      </c>
      <c r="D28" s="267"/>
      <c r="E28" s="267"/>
      <c r="F28" s="267"/>
      <c r="G28" s="268"/>
      <c r="H28" s="268"/>
      <c r="I28" s="268"/>
      <c r="J28" s="268"/>
      <c r="K28" s="268"/>
      <c r="L28" s="268"/>
      <c r="M28" s="268"/>
      <c r="N28" s="268"/>
      <c r="O28" s="268"/>
      <c r="P28" s="269"/>
      <c r="Q28" s="269"/>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row>
    <row r="29" spans="1:47" ht="12.75" x14ac:dyDescent="0.2">
      <c r="A29" s="240" t="s">
        <v>132</v>
      </c>
      <c r="B29" s="303">
        <v>13.5</v>
      </c>
      <c r="C29" s="303">
        <v>15</v>
      </c>
      <c r="D29" s="267"/>
      <c r="E29" s="267"/>
      <c r="F29" s="267"/>
      <c r="G29" s="268"/>
      <c r="H29" s="268"/>
      <c r="I29" s="268"/>
      <c r="J29" s="268"/>
      <c r="K29" s="268"/>
      <c r="L29" s="268"/>
      <c r="M29" s="268"/>
      <c r="N29" s="268"/>
      <c r="O29" s="268"/>
      <c r="P29" s="269"/>
      <c r="Q29" s="269"/>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row>
    <row r="30" spans="1:47" ht="12.75" x14ac:dyDescent="0.2">
      <c r="A30" s="226" t="s">
        <v>133</v>
      </c>
      <c r="B30" s="308"/>
      <c r="C30" s="308"/>
      <c r="D30" s="267"/>
      <c r="E30" s="267"/>
      <c r="F30" s="267"/>
      <c r="G30" s="268"/>
      <c r="H30" s="268"/>
      <c r="I30" s="268"/>
      <c r="J30" s="268"/>
      <c r="K30" s="268"/>
      <c r="L30" s="268"/>
      <c r="M30" s="268"/>
      <c r="N30" s="268"/>
      <c r="O30" s="268"/>
      <c r="P30" s="269"/>
      <c r="Q30" s="269"/>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row>
    <row r="31" spans="1:47" x14ac:dyDescent="0.2">
      <c r="A31" s="298" t="s">
        <v>134</v>
      </c>
      <c r="B31" s="308">
        <v>4</v>
      </c>
      <c r="C31" s="308">
        <v>4</v>
      </c>
      <c r="D31" s="267"/>
      <c r="E31" s="267"/>
      <c r="F31" s="267"/>
      <c r="G31" s="268"/>
      <c r="H31" s="268"/>
      <c r="I31" s="268"/>
      <c r="J31" s="268"/>
      <c r="K31" s="268"/>
      <c r="L31" s="268"/>
      <c r="M31" s="268"/>
      <c r="N31" s="268"/>
      <c r="O31" s="268"/>
      <c r="P31" s="269"/>
      <c r="Q31" s="269"/>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row>
    <row r="32" spans="1:47" x14ac:dyDescent="0.2">
      <c r="A32" s="299" t="s">
        <v>135</v>
      </c>
      <c r="B32" s="308">
        <v>4</v>
      </c>
      <c r="C32" s="308">
        <v>4</v>
      </c>
      <c r="D32" s="267"/>
      <c r="E32" s="267"/>
      <c r="F32" s="267"/>
      <c r="G32" s="268"/>
      <c r="H32" s="268"/>
      <c r="I32" s="268"/>
      <c r="J32" s="268"/>
      <c r="K32" s="268"/>
      <c r="L32" s="268"/>
      <c r="M32" s="268"/>
      <c r="N32" s="268"/>
      <c r="O32" s="268"/>
      <c r="P32" s="269"/>
      <c r="Q32" s="269"/>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row>
    <row r="33" spans="1:47" x14ac:dyDescent="0.2">
      <c r="A33" s="300" t="s">
        <v>136</v>
      </c>
      <c r="B33" s="308">
        <v>2</v>
      </c>
      <c r="C33" s="308">
        <v>2</v>
      </c>
      <c r="D33" s="267"/>
      <c r="E33" s="267"/>
      <c r="F33" s="267"/>
      <c r="G33" s="268"/>
      <c r="H33" s="268"/>
      <c r="I33" s="268"/>
      <c r="J33" s="268"/>
      <c r="K33" s="268"/>
      <c r="L33" s="268"/>
      <c r="M33" s="268"/>
      <c r="N33" s="268"/>
      <c r="O33" s="268"/>
      <c r="P33" s="269"/>
      <c r="Q33" s="269"/>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row>
    <row r="34" spans="1:47" x14ac:dyDescent="0.2">
      <c r="A34" s="301" t="s">
        <v>137</v>
      </c>
      <c r="B34" s="308"/>
      <c r="C34" s="308"/>
      <c r="D34" s="267"/>
      <c r="E34" s="267"/>
      <c r="F34" s="267"/>
      <c r="G34" s="268"/>
      <c r="H34" s="268"/>
      <c r="I34" s="268"/>
      <c r="J34" s="268"/>
      <c r="K34" s="268"/>
      <c r="L34" s="268"/>
      <c r="M34" s="268"/>
      <c r="N34" s="268"/>
      <c r="O34" s="268"/>
      <c r="P34" s="269"/>
      <c r="Q34" s="269"/>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row>
    <row r="35" spans="1:47" ht="12.75" x14ac:dyDescent="0.2">
      <c r="A35" s="226" t="s">
        <v>143</v>
      </c>
      <c r="B35" s="309"/>
      <c r="C35" s="310"/>
      <c r="D35" s="267"/>
      <c r="E35" s="267"/>
      <c r="F35" s="267"/>
      <c r="G35" s="268"/>
      <c r="H35" s="268"/>
      <c r="I35" s="268"/>
      <c r="J35" s="268"/>
      <c r="K35" s="268"/>
      <c r="L35" s="268"/>
      <c r="M35" s="268"/>
      <c r="N35" s="268"/>
      <c r="O35" s="268"/>
      <c r="P35" s="269"/>
      <c r="Q35" s="269"/>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row>
    <row r="36" spans="1:47" s="274" customFormat="1" x14ac:dyDescent="0.2">
      <c r="A36" s="24" t="s">
        <v>144</v>
      </c>
      <c r="B36" s="275">
        <v>0.8</v>
      </c>
      <c r="C36" s="275">
        <v>0.8</v>
      </c>
      <c r="D36" s="271"/>
      <c r="E36" s="271"/>
      <c r="F36" s="271"/>
      <c r="G36" s="272"/>
      <c r="H36" s="272"/>
      <c r="I36" s="272"/>
      <c r="J36" s="272"/>
      <c r="K36" s="272"/>
      <c r="L36" s="272"/>
      <c r="M36" s="272"/>
      <c r="N36" s="272"/>
      <c r="O36" s="272"/>
      <c r="P36" s="273"/>
      <c r="Q36" s="273"/>
    </row>
    <row r="37" spans="1:47" x14ac:dyDescent="0.2">
      <c r="A37" s="24" t="s">
        <v>145</v>
      </c>
      <c r="B37" s="275">
        <v>0.8</v>
      </c>
      <c r="C37" s="275">
        <v>0.8</v>
      </c>
      <c r="D37" s="267"/>
      <c r="E37" s="267"/>
      <c r="F37" s="267"/>
      <c r="G37" s="268"/>
      <c r="H37" s="268"/>
      <c r="I37" s="268"/>
      <c r="J37" s="268"/>
      <c r="K37" s="268"/>
      <c r="L37" s="268"/>
      <c r="M37" s="268"/>
      <c r="N37" s="268"/>
      <c r="O37" s="268"/>
      <c r="P37" s="269"/>
      <c r="Q37" s="269"/>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row>
    <row r="38" spans="1:47" x14ac:dyDescent="0.2">
      <c r="A38" s="24" t="s">
        <v>146</v>
      </c>
      <c r="B38" s="275">
        <v>0.75</v>
      </c>
      <c r="C38" s="275">
        <v>0.75</v>
      </c>
      <c r="D38" s="267"/>
      <c r="E38" s="267"/>
      <c r="F38" s="267"/>
      <c r="G38" s="268"/>
      <c r="H38" s="268"/>
      <c r="I38" s="268"/>
      <c r="J38" s="268"/>
      <c r="K38" s="268"/>
      <c r="L38" s="268"/>
      <c r="M38" s="268"/>
      <c r="N38" s="268"/>
      <c r="O38" s="268"/>
      <c r="P38" s="269"/>
      <c r="Q38" s="269"/>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row>
    <row r="39" spans="1:47" x14ac:dyDescent="0.2">
      <c r="A39" s="270"/>
      <c r="B39" s="311"/>
      <c r="C39" s="312"/>
      <c r="D39" s="267"/>
      <c r="E39" s="267"/>
      <c r="F39" s="267"/>
      <c r="G39" s="268"/>
      <c r="H39" s="268"/>
      <c r="I39" s="268"/>
      <c r="J39" s="268"/>
      <c r="K39" s="268"/>
      <c r="L39" s="268"/>
      <c r="M39" s="268"/>
      <c r="N39" s="268"/>
      <c r="O39" s="268"/>
      <c r="P39" s="269"/>
      <c r="Q39" s="269"/>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row>
    <row r="40" spans="1:47" x14ac:dyDescent="0.2">
      <c r="A40" s="270"/>
      <c r="B40" s="311"/>
      <c r="C40" s="312"/>
      <c r="D40" s="267"/>
      <c r="E40" s="267"/>
      <c r="F40" s="267"/>
      <c r="G40" s="268"/>
      <c r="H40" s="268"/>
      <c r="I40" s="268"/>
      <c r="J40" s="268"/>
      <c r="K40" s="268"/>
      <c r="L40" s="268"/>
      <c r="M40" s="268"/>
      <c r="N40" s="268"/>
      <c r="O40" s="268"/>
      <c r="P40" s="269"/>
      <c r="Q40" s="269"/>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row>
    <row r="41" spans="1:47" x14ac:dyDescent="0.2">
      <c r="A41" s="270"/>
      <c r="B41" s="311"/>
      <c r="C41" s="312"/>
      <c r="D41" s="267"/>
      <c r="E41" s="267"/>
      <c r="F41" s="267"/>
      <c r="G41" s="268"/>
      <c r="H41" s="268"/>
      <c r="I41" s="268"/>
      <c r="J41" s="268"/>
      <c r="K41" s="268"/>
      <c r="L41" s="268"/>
      <c r="M41" s="268"/>
      <c r="N41" s="268"/>
      <c r="O41" s="268"/>
      <c r="P41" s="269"/>
      <c r="Q41" s="269"/>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row>
    <row r="42" spans="1:47" x14ac:dyDescent="0.2">
      <c r="A42" s="270"/>
      <c r="B42" s="311"/>
      <c r="C42" s="312"/>
      <c r="D42" s="267"/>
      <c r="E42" s="267"/>
      <c r="F42" s="267"/>
      <c r="G42" s="268"/>
      <c r="H42" s="268"/>
      <c r="I42" s="268"/>
      <c r="J42" s="268"/>
      <c r="K42" s="268"/>
      <c r="L42" s="268"/>
      <c r="M42" s="268"/>
      <c r="N42" s="268"/>
      <c r="O42" s="268"/>
      <c r="P42" s="269"/>
      <c r="Q42" s="269"/>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row>
    <row r="43" spans="1:47" x14ac:dyDescent="0.2">
      <c r="A43" s="270"/>
      <c r="B43" s="311"/>
      <c r="C43" s="312"/>
      <c r="D43" s="267"/>
      <c r="E43" s="267"/>
      <c r="F43" s="267"/>
      <c r="G43" s="268"/>
      <c r="H43" s="268"/>
      <c r="I43" s="268"/>
      <c r="J43" s="268"/>
      <c r="K43" s="268"/>
      <c r="L43" s="268"/>
      <c r="M43" s="268"/>
      <c r="N43" s="268"/>
      <c r="O43" s="268"/>
      <c r="P43" s="269"/>
      <c r="Q43" s="269"/>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row>
    <row r="44" spans="1:47" x14ac:dyDescent="0.2">
      <c r="A44" s="270"/>
      <c r="B44" s="311"/>
      <c r="C44" s="312"/>
      <c r="D44" s="267"/>
      <c r="E44" s="267"/>
      <c r="F44" s="267"/>
      <c r="G44" s="268"/>
      <c r="H44" s="268"/>
      <c r="I44" s="268"/>
      <c r="J44" s="268"/>
      <c r="K44" s="268"/>
      <c r="L44" s="268"/>
      <c r="M44" s="268"/>
      <c r="N44" s="268"/>
      <c r="O44" s="268"/>
      <c r="P44" s="269"/>
      <c r="Q44" s="269"/>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row>
    <row r="45" spans="1:47" x14ac:dyDescent="0.2">
      <c r="A45" s="270"/>
      <c r="B45" s="311"/>
      <c r="C45" s="312"/>
      <c r="D45" s="267"/>
      <c r="E45" s="267"/>
      <c r="F45" s="267"/>
      <c r="G45" s="268"/>
      <c r="H45" s="268"/>
      <c r="I45" s="268"/>
      <c r="J45" s="268"/>
      <c r="K45" s="268"/>
      <c r="L45" s="268"/>
      <c r="M45" s="268"/>
      <c r="N45" s="268"/>
      <c r="O45" s="268"/>
      <c r="P45" s="269"/>
      <c r="Q45" s="269"/>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row>
    <row r="46" spans="1:47" x14ac:dyDescent="0.2">
      <c r="A46" s="270"/>
      <c r="B46" s="311"/>
      <c r="C46" s="312"/>
      <c r="D46" s="267"/>
      <c r="E46" s="267"/>
      <c r="F46" s="267"/>
      <c r="G46" s="268"/>
      <c r="H46" s="268"/>
      <c r="I46" s="268"/>
      <c r="J46" s="268"/>
      <c r="K46" s="268"/>
      <c r="L46" s="268"/>
      <c r="M46" s="268"/>
      <c r="N46" s="268"/>
      <c r="O46" s="268"/>
      <c r="P46" s="269"/>
      <c r="Q46" s="269"/>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row>
    <row r="47" spans="1:47" x14ac:dyDescent="0.2">
      <c r="A47" s="270"/>
      <c r="B47" s="311"/>
      <c r="C47" s="312"/>
      <c r="D47" s="267"/>
      <c r="E47" s="267"/>
      <c r="F47" s="267"/>
      <c r="G47" s="268"/>
      <c r="H47" s="268"/>
      <c r="I47" s="268"/>
      <c r="J47" s="268"/>
      <c r="K47" s="268"/>
      <c r="L47" s="268"/>
      <c r="M47" s="268"/>
      <c r="N47" s="268"/>
      <c r="O47" s="268"/>
      <c r="P47" s="269"/>
      <c r="Q47" s="269"/>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row>
  </sheetData>
  <mergeCells count="3">
    <mergeCell ref="A1:F1"/>
    <mergeCell ref="M1:N1"/>
    <mergeCell ref="B10:C10"/>
  </mergeCells>
  <hyperlinks>
    <hyperlink ref="H1" location="Inventory!A1" display="Inventory" xr:uid="{00000000-0004-0000-0D00-000000000000}"/>
  </hyperlinks>
  <pageMargins left="0.75" right="0.75" top="1" bottom="1" header="0.5" footer="0.5"/>
  <pageSetup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32"/>
  <sheetViews>
    <sheetView showGridLines="0" zoomScaleNormal="100" zoomScaleSheetLayoutView="100" workbookViewId="0">
      <selection activeCell="H1" sqref="H1"/>
    </sheetView>
  </sheetViews>
  <sheetFormatPr defaultRowHeight="12" x14ac:dyDescent="0.2"/>
  <cols>
    <col min="1" max="1" width="42.42578125" style="256" bestFit="1" customWidth="1"/>
    <col min="2" max="2" width="5.7109375" style="252" customWidth="1"/>
    <col min="3" max="3" width="5.7109375" style="313" customWidth="1"/>
    <col min="4" max="15" width="5.7109375" style="253" customWidth="1"/>
    <col min="16" max="29" width="5.7109375" style="256" customWidth="1"/>
    <col min="30" max="30" width="7.7109375" style="256" bestFit="1" customWidth="1"/>
    <col min="31" max="73" width="5.7109375" style="256" customWidth="1"/>
    <col min="74" max="16384" width="9.140625" style="256"/>
  </cols>
  <sheetData>
    <row r="1" spans="1:30" s="246" customFormat="1" ht="18.75" x14ac:dyDescent="0.3">
      <c r="A1" s="463" t="s">
        <v>37</v>
      </c>
      <c r="B1" s="463"/>
      <c r="C1" s="463"/>
      <c r="D1" s="463"/>
      <c r="E1" s="463"/>
      <c r="F1" s="463"/>
      <c r="H1" s="245" t="s">
        <v>40</v>
      </c>
      <c r="L1" s="247" t="s">
        <v>41</v>
      </c>
      <c r="M1" s="464">
        <v>44835</v>
      </c>
      <c r="N1" s="464"/>
      <c r="O1" s="386"/>
      <c r="AC1" s="324" t="s">
        <v>42</v>
      </c>
      <c r="AD1" s="325">
        <v>10.130000000000001</v>
      </c>
    </row>
    <row r="2" spans="1:30" s="252" customFormat="1" x14ac:dyDescent="0.2">
      <c r="A2" s="391"/>
      <c r="B2" s="465" t="s">
        <v>219</v>
      </c>
      <c r="C2" s="465"/>
      <c r="D2" s="391"/>
      <c r="E2" s="391"/>
      <c r="F2" s="391"/>
      <c r="H2" s="390"/>
      <c r="L2" s="257"/>
      <c r="M2" s="392"/>
      <c r="N2" s="392"/>
      <c r="O2" s="422"/>
      <c r="AC2" s="13"/>
      <c r="AD2" s="370"/>
    </row>
    <row r="3" spans="1:30" s="252" customFormat="1" x14ac:dyDescent="0.2">
      <c r="A3" s="257" t="s">
        <v>220</v>
      </c>
      <c r="B3" s="384" t="s">
        <v>208</v>
      </c>
      <c r="C3" s="252" t="s">
        <v>209</v>
      </c>
      <c r="D3" s="422" t="s">
        <v>221</v>
      </c>
      <c r="E3" s="422" t="s">
        <v>222</v>
      </c>
      <c r="F3" s="422"/>
      <c r="G3" s="422"/>
      <c r="H3" s="422"/>
      <c r="I3" s="422"/>
      <c r="J3" s="422"/>
      <c r="K3" s="422"/>
      <c r="L3" s="422"/>
      <c r="M3" s="422"/>
      <c r="N3" s="422"/>
      <c r="O3" s="422"/>
    </row>
    <row r="4" spans="1:30" s="252" customFormat="1" x14ac:dyDescent="0.2">
      <c r="A4" s="257" t="s">
        <v>223</v>
      </c>
      <c r="B4" s="385">
        <v>3</v>
      </c>
      <c r="C4" s="422">
        <v>5</v>
      </c>
      <c r="D4" s="422"/>
      <c r="E4" s="422"/>
      <c r="F4" s="422"/>
      <c r="G4" s="422"/>
      <c r="H4" s="422"/>
      <c r="I4" s="422"/>
      <c r="J4" s="422"/>
      <c r="K4" s="422"/>
      <c r="L4" s="422"/>
      <c r="M4" s="422"/>
      <c r="N4" s="422"/>
      <c r="O4" s="422"/>
    </row>
    <row r="5" spans="1:30" s="252" customFormat="1" x14ac:dyDescent="0.2">
      <c r="A5" s="257" t="s">
        <v>224</v>
      </c>
      <c r="B5" s="385">
        <v>4</v>
      </c>
      <c r="C5" s="422">
        <v>7</v>
      </c>
      <c r="D5" s="422">
        <v>2</v>
      </c>
      <c r="E5" s="422"/>
      <c r="F5" s="422"/>
      <c r="G5" s="422"/>
      <c r="H5" s="422"/>
      <c r="I5" s="422"/>
      <c r="J5" s="422"/>
      <c r="K5" s="422"/>
      <c r="L5" s="422"/>
      <c r="M5" s="422"/>
      <c r="N5" s="422"/>
      <c r="O5" s="422"/>
    </row>
    <row r="6" spans="1:30" s="252" customFormat="1" x14ac:dyDescent="0.2">
      <c r="A6" s="257" t="s">
        <v>225</v>
      </c>
      <c r="B6" s="385">
        <v>3</v>
      </c>
      <c r="C6" s="422">
        <v>10</v>
      </c>
      <c r="D6" s="422">
        <v>3</v>
      </c>
      <c r="E6" s="422">
        <v>2</v>
      </c>
      <c r="F6" s="422"/>
      <c r="G6" s="422"/>
      <c r="H6" s="422"/>
      <c r="I6" s="422"/>
      <c r="J6" s="422"/>
      <c r="K6" s="422"/>
      <c r="L6" s="422"/>
      <c r="M6" s="422"/>
      <c r="N6" s="422"/>
      <c r="O6" s="422"/>
    </row>
    <row r="7" spans="1:30" s="252" customFormat="1" x14ac:dyDescent="0.2">
      <c r="A7" s="257" t="s">
        <v>226</v>
      </c>
      <c r="B7" s="385">
        <v>9</v>
      </c>
      <c r="C7" s="422">
        <v>2</v>
      </c>
      <c r="D7" s="422"/>
      <c r="E7" s="422"/>
      <c r="F7" s="422"/>
      <c r="G7" s="422"/>
      <c r="H7" s="422"/>
      <c r="I7" s="422"/>
      <c r="J7" s="422"/>
      <c r="K7" s="422"/>
      <c r="L7" s="422"/>
      <c r="M7" s="422"/>
      <c r="N7" s="422"/>
      <c r="O7" s="422"/>
    </row>
    <row r="8" spans="1:30" s="252" customFormat="1" x14ac:dyDescent="0.2">
      <c r="A8" s="257"/>
      <c r="B8" s="384"/>
      <c r="D8" s="422"/>
      <c r="E8" s="422"/>
      <c r="F8" s="422"/>
      <c r="G8" s="422"/>
      <c r="H8" s="422"/>
      <c r="I8" s="422"/>
      <c r="J8" s="422"/>
      <c r="K8" s="422"/>
      <c r="L8" s="422"/>
      <c r="M8" s="422"/>
      <c r="N8" s="422"/>
      <c r="O8" s="422"/>
    </row>
    <row r="9" spans="1:30" s="252" customFormat="1" x14ac:dyDescent="0.2">
      <c r="A9" s="257"/>
      <c r="B9" s="384"/>
      <c r="D9" s="422"/>
      <c r="E9" s="422"/>
      <c r="F9" s="422"/>
      <c r="G9" s="422"/>
      <c r="H9" s="422"/>
      <c r="I9" s="422"/>
      <c r="J9" s="422"/>
      <c r="K9" s="422"/>
      <c r="L9" s="422"/>
      <c r="M9" s="422"/>
      <c r="N9" s="422"/>
      <c r="O9" s="422"/>
    </row>
    <row r="10" spans="1:30" ht="56.25" customHeight="1" x14ac:dyDescent="0.2">
      <c r="A10" s="382" t="s">
        <v>56</v>
      </c>
      <c r="B10" s="115" t="s">
        <v>227</v>
      </c>
      <c r="C10" s="115" t="s">
        <v>227</v>
      </c>
      <c r="D10" s="115" t="s">
        <v>227</v>
      </c>
      <c r="E10" s="115" t="s">
        <v>227</v>
      </c>
      <c r="F10" s="259" t="s">
        <v>228</v>
      </c>
      <c r="G10" s="259" t="s">
        <v>228</v>
      </c>
    </row>
    <row r="11" spans="1:30" x14ac:dyDescent="0.2">
      <c r="A11" s="382" t="s">
        <v>64</v>
      </c>
      <c r="B11" s="260" t="s">
        <v>229</v>
      </c>
      <c r="C11" s="260" t="s">
        <v>229</v>
      </c>
      <c r="D11" s="260" t="s">
        <v>230</v>
      </c>
      <c r="E11" s="260" t="s">
        <v>230</v>
      </c>
      <c r="F11" s="261" t="s">
        <v>231</v>
      </c>
      <c r="G11" s="261" t="s">
        <v>231</v>
      </c>
    </row>
    <row r="12" spans="1:30" s="262" customFormat="1" x14ac:dyDescent="0.2">
      <c r="A12" s="382" t="s">
        <v>93</v>
      </c>
      <c r="B12" s="11">
        <v>1</v>
      </c>
      <c r="C12" s="11">
        <v>1</v>
      </c>
      <c r="D12" s="11">
        <v>2</v>
      </c>
      <c r="E12" s="11">
        <v>2</v>
      </c>
      <c r="F12" s="11">
        <v>3</v>
      </c>
      <c r="G12" s="11">
        <v>3</v>
      </c>
      <c r="H12" s="253"/>
      <c r="I12" s="253"/>
      <c r="J12" s="253"/>
      <c r="K12" s="253"/>
      <c r="L12" s="253"/>
      <c r="M12" s="253"/>
      <c r="N12" s="253"/>
      <c r="O12" s="253"/>
    </row>
    <row r="13" spans="1:30" s="262" customFormat="1" x14ac:dyDescent="0.2">
      <c r="A13" s="382" t="s">
        <v>94</v>
      </c>
      <c r="B13" s="444" t="s">
        <v>227</v>
      </c>
      <c r="C13" s="446"/>
      <c r="D13" s="444" t="s">
        <v>227</v>
      </c>
      <c r="E13" s="446"/>
      <c r="F13" s="444" t="s">
        <v>226</v>
      </c>
      <c r="G13" s="446"/>
      <c r="H13" s="253"/>
      <c r="I13" s="253"/>
      <c r="J13" s="253"/>
      <c r="K13" s="253"/>
      <c r="L13" s="253"/>
      <c r="M13" s="253"/>
      <c r="N13" s="253"/>
      <c r="O13" s="253"/>
    </row>
    <row r="14" spans="1:30" s="262" customFormat="1" ht="12.75" x14ac:dyDescent="0.2">
      <c r="A14" s="380" t="s">
        <v>115</v>
      </c>
      <c r="B14" s="419"/>
      <c r="C14" s="420"/>
      <c r="D14" s="419"/>
      <c r="E14" s="420"/>
      <c r="F14" s="419"/>
      <c r="G14" s="421"/>
      <c r="H14" s="383"/>
      <c r="I14" s="253"/>
      <c r="J14" s="253"/>
      <c r="K14" s="253"/>
      <c r="L14" s="253"/>
      <c r="M14" s="253"/>
      <c r="N14" s="253"/>
      <c r="O14" s="253"/>
    </row>
    <row r="15" spans="1:30" s="262" customFormat="1" x14ac:dyDescent="0.2">
      <c r="A15" s="382" t="s">
        <v>116</v>
      </c>
      <c r="B15" s="389">
        <v>1</v>
      </c>
      <c r="C15" s="389">
        <v>1</v>
      </c>
      <c r="D15" s="389">
        <v>1</v>
      </c>
      <c r="E15" s="389">
        <v>1</v>
      </c>
      <c r="F15" s="389">
        <v>1</v>
      </c>
      <c r="G15" s="389">
        <v>1</v>
      </c>
      <c r="I15" s="253"/>
      <c r="J15" s="253"/>
      <c r="K15" s="253"/>
      <c r="L15" s="253"/>
      <c r="M15" s="253"/>
      <c r="N15" s="253"/>
      <c r="O15" s="253"/>
    </row>
    <row r="16" spans="1:30" s="262" customFormat="1" x14ac:dyDescent="0.2">
      <c r="A16" s="382" t="s">
        <v>117</v>
      </c>
      <c r="B16" s="187">
        <v>0.75</v>
      </c>
      <c r="C16" s="187">
        <v>0.75</v>
      </c>
      <c r="D16" s="187">
        <v>0.75</v>
      </c>
      <c r="E16" s="187">
        <v>0.75</v>
      </c>
      <c r="F16" s="178">
        <v>0.75</v>
      </c>
      <c r="G16" s="178">
        <v>0.75</v>
      </c>
      <c r="H16" s="74"/>
      <c r="I16" s="253"/>
      <c r="J16" s="253"/>
      <c r="K16" s="253"/>
      <c r="L16" s="253"/>
      <c r="M16" s="253"/>
      <c r="N16" s="253"/>
      <c r="O16" s="253"/>
    </row>
    <row r="17" spans="1:29" s="262" customFormat="1" x14ac:dyDescent="0.2">
      <c r="A17" s="381" t="s">
        <v>118</v>
      </c>
      <c r="B17" s="187">
        <v>0.25</v>
      </c>
      <c r="C17" s="187">
        <v>0.25</v>
      </c>
      <c r="D17" s="187">
        <v>0.25</v>
      </c>
      <c r="E17" s="187">
        <v>0.25</v>
      </c>
      <c r="F17" s="178">
        <v>0.25</v>
      </c>
      <c r="G17" s="178">
        <v>0.25</v>
      </c>
      <c r="H17" s="74"/>
      <c r="I17" s="253"/>
      <c r="J17" s="253"/>
      <c r="K17" s="253"/>
      <c r="L17" s="253"/>
      <c r="M17" s="253"/>
      <c r="N17" s="253"/>
      <c r="O17" s="253"/>
    </row>
    <row r="18" spans="1:29" ht="12.75" x14ac:dyDescent="0.2">
      <c r="A18" s="380" t="s">
        <v>232</v>
      </c>
      <c r="B18" s="265" t="s">
        <v>208</v>
      </c>
      <c r="C18" s="265" t="s">
        <v>208</v>
      </c>
      <c r="D18" s="265" t="s">
        <v>221</v>
      </c>
      <c r="E18" s="265" t="s">
        <v>222</v>
      </c>
      <c r="F18" s="266" t="s">
        <v>208</v>
      </c>
      <c r="G18" s="266" t="s">
        <v>209</v>
      </c>
      <c r="H18" s="256"/>
    </row>
    <row r="19" spans="1:29" s="377" customFormat="1" x14ac:dyDescent="0.2">
      <c r="A19" s="19" t="s">
        <v>119</v>
      </c>
      <c r="B19" s="379">
        <f>SUM(B4:B6)*B15</f>
        <v>10</v>
      </c>
      <c r="C19" s="379">
        <f>SUM(C4:C6)*C15</f>
        <v>22</v>
      </c>
      <c r="D19" s="379">
        <f>SUM(D4:D6)*D15</f>
        <v>5</v>
      </c>
      <c r="E19" s="379">
        <f>SUM(E4:E6)*E15</f>
        <v>2</v>
      </c>
      <c r="F19" s="368">
        <f>SUM(B7)*F15</f>
        <v>9</v>
      </c>
      <c r="G19" s="368">
        <f>SUM(C7)*G15</f>
        <v>2</v>
      </c>
      <c r="H19" s="378"/>
      <c r="I19" s="378"/>
      <c r="J19" s="378"/>
      <c r="K19" s="378"/>
      <c r="L19" s="378"/>
      <c r="M19" s="378"/>
      <c r="N19" s="378"/>
      <c r="O19" s="378"/>
    </row>
    <row r="20" spans="1:29" x14ac:dyDescent="0.2">
      <c r="A20" s="19" t="s">
        <v>120</v>
      </c>
      <c r="B20" s="376">
        <f t="shared" ref="B20:G20" si="0">B19*B16</f>
        <v>7.5</v>
      </c>
      <c r="C20" s="376">
        <f t="shared" si="0"/>
        <v>16.5</v>
      </c>
      <c r="D20" s="376">
        <f t="shared" si="0"/>
        <v>3.75</v>
      </c>
      <c r="E20" s="376">
        <f t="shared" si="0"/>
        <v>1.5</v>
      </c>
      <c r="F20" s="375">
        <f t="shared" si="0"/>
        <v>6.75</v>
      </c>
      <c r="G20" s="375">
        <f t="shared" si="0"/>
        <v>1.5</v>
      </c>
    </row>
    <row r="21" spans="1:29" x14ac:dyDescent="0.2">
      <c r="A21" s="16" t="s">
        <v>121</v>
      </c>
      <c r="B21" s="375">
        <f>B19*B17</f>
        <v>2.5</v>
      </c>
      <c r="C21" s="375">
        <f>C19*C17</f>
        <v>5.5</v>
      </c>
      <c r="D21" s="375">
        <f>D19*D17</f>
        <v>1.25</v>
      </c>
      <c r="E21" s="375">
        <f>E19*E17</f>
        <v>0.5</v>
      </c>
      <c r="F21" s="375" t="s">
        <v>214</v>
      </c>
      <c r="G21" s="375" t="s">
        <v>214</v>
      </c>
    </row>
    <row r="22" spans="1:29" s="225" customFormat="1" ht="12.75" x14ac:dyDescent="0.2">
      <c r="A22" s="374" t="s">
        <v>122</v>
      </c>
      <c r="B22" s="373"/>
      <c r="C22" s="388"/>
      <c r="D22" s="373"/>
      <c r="E22" s="388"/>
      <c r="F22" s="373"/>
      <c r="G22" s="372"/>
      <c r="H22" s="371"/>
      <c r="I22" s="371"/>
      <c r="J22" s="371"/>
      <c r="K22" s="371"/>
      <c r="L22" s="371"/>
      <c r="M22" s="371"/>
      <c r="N22" s="371"/>
      <c r="O22" s="371"/>
      <c r="P22" s="371"/>
      <c r="Q22" s="371"/>
      <c r="R22" s="371"/>
      <c r="S22" s="371"/>
      <c r="T22" s="371"/>
      <c r="U22" s="371"/>
      <c r="V22" s="371"/>
      <c r="W22" s="371"/>
      <c r="X22" s="371"/>
      <c r="Y22" s="371"/>
      <c r="Z22" s="371"/>
      <c r="AA22" s="371"/>
      <c r="AB22" s="371"/>
      <c r="AC22" s="370"/>
    </row>
    <row r="23" spans="1:29" ht="12.75" x14ac:dyDescent="0.2">
      <c r="A23" s="335" t="s">
        <v>123</v>
      </c>
      <c r="B23" s="387" t="s">
        <v>214</v>
      </c>
      <c r="C23" s="387" t="s">
        <v>214</v>
      </c>
      <c r="D23" s="387" t="s">
        <v>214</v>
      </c>
      <c r="E23" s="387" t="s">
        <v>214</v>
      </c>
      <c r="F23" s="387" t="s">
        <v>214</v>
      </c>
      <c r="G23" s="387" t="s">
        <v>214</v>
      </c>
    </row>
    <row r="24" spans="1:29" ht="12.75" x14ac:dyDescent="0.2">
      <c r="A24" s="335" t="s">
        <v>124</v>
      </c>
      <c r="B24" s="368" t="s">
        <v>214</v>
      </c>
      <c r="C24" s="368" t="s">
        <v>214</v>
      </c>
      <c r="D24" s="368" t="s">
        <v>214</v>
      </c>
      <c r="E24" s="368" t="s">
        <v>214</v>
      </c>
      <c r="F24" s="368" t="s">
        <v>214</v>
      </c>
      <c r="G24" s="368" t="s">
        <v>214</v>
      </c>
    </row>
    <row r="25" spans="1:29" ht="12.75" x14ac:dyDescent="0.2">
      <c r="A25" s="335" t="s">
        <v>125</v>
      </c>
      <c r="B25" s="368" t="s">
        <v>214</v>
      </c>
      <c r="C25" s="368" t="s">
        <v>214</v>
      </c>
      <c r="D25" s="368" t="s">
        <v>214</v>
      </c>
      <c r="E25" s="368" t="s">
        <v>214</v>
      </c>
      <c r="F25" s="368" t="s">
        <v>214</v>
      </c>
      <c r="G25" s="368" t="s">
        <v>214</v>
      </c>
      <c r="V25" s="369"/>
    </row>
    <row r="26" spans="1:29" ht="12.75" x14ac:dyDescent="0.2">
      <c r="A26" s="335" t="s">
        <v>126</v>
      </c>
      <c r="B26" s="368" t="s">
        <v>214</v>
      </c>
      <c r="C26" s="368" t="s">
        <v>214</v>
      </c>
      <c r="D26" s="368" t="s">
        <v>214</v>
      </c>
      <c r="E26" s="368" t="s">
        <v>214</v>
      </c>
      <c r="F26" s="368" t="s">
        <v>214</v>
      </c>
      <c r="G26" s="368" t="s">
        <v>214</v>
      </c>
    </row>
    <row r="27" spans="1:29" ht="12.75" x14ac:dyDescent="0.2">
      <c r="A27" s="335" t="s">
        <v>127</v>
      </c>
      <c r="B27" s="368" t="s">
        <v>214</v>
      </c>
      <c r="C27" s="368" t="s">
        <v>214</v>
      </c>
      <c r="D27" s="368" t="s">
        <v>214</v>
      </c>
      <c r="E27" s="368" t="s">
        <v>214</v>
      </c>
      <c r="F27" s="368" t="s">
        <v>214</v>
      </c>
      <c r="G27" s="368" t="s">
        <v>214</v>
      </c>
    </row>
    <row r="28" spans="1:29" ht="12.75" x14ac:dyDescent="0.2">
      <c r="A28" s="335" t="s">
        <v>128</v>
      </c>
      <c r="B28" s="368" t="s">
        <v>214</v>
      </c>
      <c r="C28" s="368" t="s">
        <v>214</v>
      </c>
      <c r="D28" s="368" t="s">
        <v>214</v>
      </c>
      <c r="E28" s="368" t="s">
        <v>214</v>
      </c>
      <c r="F28" s="368" t="s">
        <v>214</v>
      </c>
      <c r="G28" s="368" t="s">
        <v>214</v>
      </c>
    </row>
    <row r="29" spans="1:29" ht="12.75" x14ac:dyDescent="0.2">
      <c r="A29" s="335" t="s">
        <v>129</v>
      </c>
      <c r="B29" s="368" t="s">
        <v>214</v>
      </c>
      <c r="C29" s="368" t="s">
        <v>214</v>
      </c>
      <c r="D29" s="368" t="s">
        <v>214</v>
      </c>
      <c r="E29" s="368" t="s">
        <v>214</v>
      </c>
      <c r="F29" s="368" t="s">
        <v>214</v>
      </c>
      <c r="G29" s="368" t="s">
        <v>214</v>
      </c>
    </row>
    <row r="30" spans="1:29" ht="12.75" x14ac:dyDescent="0.2">
      <c r="A30" s="335" t="s">
        <v>130</v>
      </c>
      <c r="B30" s="368" t="s">
        <v>214</v>
      </c>
      <c r="C30" s="368" t="s">
        <v>214</v>
      </c>
      <c r="D30" s="368" t="s">
        <v>214</v>
      </c>
      <c r="E30" s="368" t="s">
        <v>214</v>
      </c>
      <c r="F30" s="368" t="s">
        <v>214</v>
      </c>
      <c r="G30" s="368" t="s">
        <v>214</v>
      </c>
    </row>
    <row r="31" spans="1:29" ht="12.75" x14ac:dyDescent="0.2">
      <c r="A31" s="335" t="s">
        <v>131</v>
      </c>
      <c r="B31" s="368" t="s">
        <v>214</v>
      </c>
      <c r="C31" s="368" t="s">
        <v>214</v>
      </c>
      <c r="D31" s="368" t="s">
        <v>214</v>
      </c>
      <c r="E31" s="368" t="s">
        <v>214</v>
      </c>
      <c r="F31" s="368" t="s">
        <v>214</v>
      </c>
      <c r="G31" s="368" t="s">
        <v>214</v>
      </c>
    </row>
    <row r="32" spans="1:29" ht="12.75" x14ac:dyDescent="0.2">
      <c r="A32" s="335" t="s">
        <v>132</v>
      </c>
      <c r="B32" s="368" t="s">
        <v>214</v>
      </c>
      <c r="C32" s="368" t="s">
        <v>214</v>
      </c>
      <c r="D32" s="368" t="s">
        <v>214</v>
      </c>
      <c r="E32" s="368" t="s">
        <v>214</v>
      </c>
      <c r="F32" s="368" t="s">
        <v>214</v>
      </c>
      <c r="G32" s="368" t="s">
        <v>214</v>
      </c>
    </row>
  </sheetData>
  <mergeCells count="6">
    <mergeCell ref="A1:F1"/>
    <mergeCell ref="M1:N1"/>
    <mergeCell ref="B13:C13"/>
    <mergeCell ref="F13:G13"/>
    <mergeCell ref="B2:C2"/>
    <mergeCell ref="D13:E13"/>
  </mergeCells>
  <hyperlinks>
    <hyperlink ref="H1" location="Inventory!A1" display="Inventory" xr:uid="{00000000-0004-0000-0E00-000000000000}"/>
  </hyperlinks>
  <pageMargins left="0.75" right="0.75" top="1"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65"/>
  <sheetViews>
    <sheetView showGridLines="0" zoomScaleNormal="100" workbookViewId="0">
      <selection activeCell="C1" sqref="C1"/>
    </sheetView>
  </sheetViews>
  <sheetFormatPr defaultColWidth="9.140625" defaultRowHeight="12.75" x14ac:dyDescent="0.2"/>
  <cols>
    <col min="1" max="1" width="9.140625" style="396"/>
    <col min="2" max="2" width="12.42578125" style="396" bestFit="1" customWidth="1"/>
    <col min="3" max="3" width="76.5703125" style="396" bestFit="1" customWidth="1"/>
    <col min="4" max="11" width="5.7109375" style="396" customWidth="1"/>
    <col min="12" max="12" width="5.7109375" customWidth="1"/>
    <col min="13" max="19" width="5.7109375" style="396" customWidth="1"/>
    <col min="20" max="16384" width="9.140625" style="396"/>
  </cols>
  <sheetData>
    <row r="1" spans="1:19" ht="15.75" x14ac:dyDescent="0.25">
      <c r="A1" s="393" t="s">
        <v>41</v>
      </c>
      <c r="B1" s="394">
        <v>43983</v>
      </c>
      <c r="C1" s="395" t="s">
        <v>40</v>
      </c>
      <c r="D1" s="466" t="s">
        <v>233</v>
      </c>
      <c r="E1" s="466"/>
      <c r="F1" s="466"/>
      <c r="G1" s="466"/>
      <c r="H1" s="466"/>
      <c r="I1" s="466"/>
      <c r="J1" s="466"/>
      <c r="K1" s="466"/>
      <c r="L1" s="466"/>
      <c r="M1" s="466"/>
      <c r="N1" s="466"/>
      <c r="O1" s="466"/>
      <c r="P1" s="466"/>
      <c r="Q1" s="466"/>
      <c r="R1" s="466"/>
      <c r="S1" s="466"/>
    </row>
    <row r="2" spans="1:19" s="397" customFormat="1" ht="256.5" thickBot="1" x14ac:dyDescent="0.25">
      <c r="B2" s="398"/>
      <c r="C2" s="399" t="s">
        <v>234</v>
      </c>
      <c r="D2" s="400" t="s">
        <v>184</v>
      </c>
      <c r="E2" s="401" t="s">
        <v>185</v>
      </c>
      <c r="F2" s="400" t="s">
        <v>123</v>
      </c>
      <c r="G2" s="401" t="s">
        <v>124</v>
      </c>
      <c r="H2" s="400" t="s">
        <v>125</v>
      </c>
      <c r="I2" s="401" t="s">
        <v>126</v>
      </c>
      <c r="J2" s="400" t="s">
        <v>127</v>
      </c>
      <c r="K2" s="401" t="s">
        <v>128</v>
      </c>
      <c r="L2" s="400" t="s">
        <v>129</v>
      </c>
      <c r="M2" s="401" t="s">
        <v>130</v>
      </c>
      <c r="N2" s="400" t="s">
        <v>131</v>
      </c>
      <c r="O2" s="401" t="s">
        <v>132</v>
      </c>
      <c r="P2" s="400" t="s">
        <v>134</v>
      </c>
      <c r="Q2" s="401" t="s">
        <v>135</v>
      </c>
      <c r="R2" s="400" t="s">
        <v>186</v>
      </c>
      <c r="S2" s="401" t="s">
        <v>187</v>
      </c>
    </row>
    <row r="3" spans="1:19" s="406" customFormat="1" ht="17.45" customHeight="1" x14ac:dyDescent="0.2">
      <c r="A3" s="467" t="s">
        <v>235</v>
      </c>
      <c r="B3" s="402" t="s">
        <v>236</v>
      </c>
      <c r="C3" s="403" t="s">
        <v>237</v>
      </c>
      <c r="D3" s="404" t="s">
        <v>176</v>
      </c>
      <c r="E3" s="404" t="s">
        <v>176</v>
      </c>
      <c r="F3" s="404"/>
      <c r="G3" s="404"/>
      <c r="H3" s="404"/>
      <c r="I3" s="404"/>
      <c r="J3" s="404"/>
      <c r="K3" s="404"/>
      <c r="L3" s="404"/>
      <c r="M3" s="404"/>
      <c r="N3" s="404" t="s">
        <v>176</v>
      </c>
      <c r="O3" s="404" t="s">
        <v>176</v>
      </c>
      <c r="P3" s="404"/>
      <c r="Q3" s="404"/>
      <c r="R3" s="404"/>
      <c r="S3" s="405"/>
    </row>
    <row r="4" spans="1:19" s="406" customFormat="1" ht="17.45" customHeight="1" x14ac:dyDescent="0.2">
      <c r="A4" s="468"/>
      <c r="B4" s="407" t="s">
        <v>238</v>
      </c>
      <c r="C4" s="408" t="s">
        <v>239</v>
      </c>
      <c r="D4" s="409" t="s">
        <v>176</v>
      </c>
      <c r="E4" s="409" t="s">
        <v>176</v>
      </c>
      <c r="F4" s="409" t="s">
        <v>176</v>
      </c>
      <c r="G4" s="409"/>
      <c r="H4" s="409"/>
      <c r="I4" s="409"/>
      <c r="J4" s="409" t="s">
        <v>176</v>
      </c>
      <c r="K4" s="409" t="s">
        <v>176</v>
      </c>
      <c r="L4" s="409"/>
      <c r="M4" s="409" t="s">
        <v>176</v>
      </c>
      <c r="N4" s="409"/>
      <c r="O4" s="409" t="s">
        <v>176</v>
      </c>
      <c r="P4" s="409" t="s">
        <v>176</v>
      </c>
      <c r="Q4" s="409" t="s">
        <v>176</v>
      </c>
      <c r="R4" s="409"/>
      <c r="S4" s="410"/>
    </row>
    <row r="5" spans="1:19" s="406" customFormat="1" ht="17.45" customHeight="1" x14ac:dyDescent="0.2">
      <c r="A5" s="468"/>
      <c r="B5" s="407" t="s">
        <v>240</v>
      </c>
      <c r="C5" s="408" t="s">
        <v>241</v>
      </c>
      <c r="D5" s="409" t="s">
        <v>176</v>
      </c>
      <c r="E5" s="409" t="s">
        <v>176</v>
      </c>
      <c r="F5" s="409" t="s">
        <v>176</v>
      </c>
      <c r="G5" s="409"/>
      <c r="H5" s="409"/>
      <c r="I5" s="409"/>
      <c r="J5" s="409" t="s">
        <v>176</v>
      </c>
      <c r="K5" s="409" t="s">
        <v>176</v>
      </c>
      <c r="L5" s="409"/>
      <c r="M5" s="409" t="s">
        <v>176</v>
      </c>
      <c r="N5" s="409"/>
      <c r="O5" s="409" t="s">
        <v>176</v>
      </c>
      <c r="P5" s="409" t="s">
        <v>176</v>
      </c>
      <c r="Q5" s="409" t="s">
        <v>176</v>
      </c>
      <c r="R5" s="409"/>
      <c r="S5" s="410"/>
    </row>
    <row r="6" spans="1:19" s="406" customFormat="1" ht="17.45" customHeight="1" x14ac:dyDescent="0.2">
      <c r="A6" s="468"/>
      <c r="B6" s="407" t="s">
        <v>242</v>
      </c>
      <c r="C6" s="408" t="s">
        <v>243</v>
      </c>
      <c r="D6" s="409" t="s">
        <v>176</v>
      </c>
      <c r="E6" s="409" t="s">
        <v>176</v>
      </c>
      <c r="F6" s="409" t="s">
        <v>176</v>
      </c>
      <c r="G6" s="409"/>
      <c r="H6" s="409" t="s">
        <v>176</v>
      </c>
      <c r="I6" s="409" t="s">
        <v>176</v>
      </c>
      <c r="J6" s="409" t="s">
        <v>176</v>
      </c>
      <c r="K6" s="409" t="s">
        <v>176</v>
      </c>
      <c r="L6" s="409"/>
      <c r="M6" s="409" t="s">
        <v>176</v>
      </c>
      <c r="N6" s="409"/>
      <c r="O6" s="409" t="s">
        <v>176</v>
      </c>
      <c r="P6" s="409" t="s">
        <v>176</v>
      </c>
      <c r="Q6" s="409" t="s">
        <v>176</v>
      </c>
      <c r="R6" s="409"/>
      <c r="S6" s="410"/>
    </row>
    <row r="7" spans="1:19" s="406" customFormat="1" ht="17.45" customHeight="1" x14ac:dyDescent="0.2">
      <c r="A7" s="468"/>
      <c r="B7" s="407" t="s">
        <v>244</v>
      </c>
      <c r="C7" s="408" t="s">
        <v>245</v>
      </c>
      <c r="D7" s="409" t="s">
        <v>176</v>
      </c>
      <c r="E7" s="409" t="s">
        <v>176</v>
      </c>
      <c r="F7" s="409" t="s">
        <v>176</v>
      </c>
      <c r="G7" s="409" t="s">
        <v>176</v>
      </c>
      <c r="H7" s="409"/>
      <c r="I7" s="409" t="s">
        <v>176</v>
      </c>
      <c r="J7" s="409" t="s">
        <v>176</v>
      </c>
      <c r="K7" s="409" t="s">
        <v>176</v>
      </c>
      <c r="L7" s="409"/>
      <c r="M7" s="409" t="s">
        <v>176</v>
      </c>
      <c r="N7" s="409"/>
      <c r="O7" s="409" t="s">
        <v>176</v>
      </c>
      <c r="P7" s="409" t="s">
        <v>176</v>
      </c>
      <c r="Q7" s="409" t="s">
        <v>176</v>
      </c>
      <c r="R7" s="409"/>
      <c r="S7" s="410"/>
    </row>
    <row r="8" spans="1:19" s="406" customFormat="1" ht="17.45" customHeight="1" x14ac:dyDescent="0.2">
      <c r="A8" s="468"/>
      <c r="B8" s="407" t="s">
        <v>246</v>
      </c>
      <c r="C8" s="408" t="s">
        <v>247</v>
      </c>
      <c r="D8" s="409" t="s">
        <v>176</v>
      </c>
      <c r="E8" s="409" t="s">
        <v>176</v>
      </c>
      <c r="F8" s="409" t="s">
        <v>176</v>
      </c>
      <c r="G8" s="409"/>
      <c r="H8" s="409"/>
      <c r="I8" s="409" t="s">
        <v>176</v>
      </c>
      <c r="J8" s="409" t="s">
        <v>176</v>
      </c>
      <c r="K8" s="409" t="s">
        <v>176</v>
      </c>
      <c r="L8" s="409"/>
      <c r="M8" s="409" t="s">
        <v>176</v>
      </c>
      <c r="N8" s="409"/>
      <c r="O8" s="409" t="s">
        <v>176</v>
      </c>
      <c r="P8" s="409"/>
      <c r="Q8" s="409"/>
      <c r="R8" s="409"/>
      <c r="S8" s="410"/>
    </row>
    <row r="9" spans="1:19" s="406" customFormat="1" ht="17.45" customHeight="1" x14ac:dyDescent="0.2">
      <c r="A9" s="468"/>
      <c r="B9" s="407" t="s">
        <v>248</v>
      </c>
      <c r="C9" s="408" t="s">
        <v>249</v>
      </c>
      <c r="D9" s="409" t="s">
        <v>176</v>
      </c>
      <c r="E9" s="409" t="s">
        <v>176</v>
      </c>
      <c r="F9" s="409"/>
      <c r="G9" s="409"/>
      <c r="H9" s="409"/>
      <c r="I9" s="409" t="s">
        <v>176</v>
      </c>
      <c r="J9" s="409" t="s">
        <v>176</v>
      </c>
      <c r="K9" s="409" t="s">
        <v>176</v>
      </c>
      <c r="L9" s="409"/>
      <c r="M9" s="409" t="s">
        <v>176</v>
      </c>
      <c r="N9" s="409"/>
      <c r="O9" s="409" t="s">
        <v>176</v>
      </c>
      <c r="P9" s="409" t="s">
        <v>176</v>
      </c>
      <c r="Q9" s="409" t="s">
        <v>176</v>
      </c>
      <c r="R9" s="409"/>
      <c r="S9" s="410"/>
    </row>
    <row r="10" spans="1:19" s="406" customFormat="1" ht="17.45" customHeight="1" x14ac:dyDescent="0.2">
      <c r="A10" s="468"/>
      <c r="B10" s="407" t="s">
        <v>250</v>
      </c>
      <c r="C10" s="408" t="s">
        <v>251</v>
      </c>
      <c r="D10" s="409" t="s">
        <v>176</v>
      </c>
      <c r="E10" s="409" t="s">
        <v>176</v>
      </c>
      <c r="F10" s="409" t="s">
        <v>176</v>
      </c>
      <c r="G10" s="409"/>
      <c r="H10" s="409" t="s">
        <v>176</v>
      </c>
      <c r="I10" s="409" t="s">
        <v>176</v>
      </c>
      <c r="J10" s="409" t="s">
        <v>176</v>
      </c>
      <c r="K10" s="409" t="s">
        <v>176</v>
      </c>
      <c r="L10" s="409"/>
      <c r="M10" s="409" t="s">
        <v>176</v>
      </c>
      <c r="N10" s="409"/>
      <c r="O10" s="409" t="s">
        <v>176</v>
      </c>
      <c r="P10" s="409" t="s">
        <v>176</v>
      </c>
      <c r="Q10" s="409" t="s">
        <v>176</v>
      </c>
      <c r="R10" s="409"/>
      <c r="S10" s="410"/>
    </row>
    <row r="11" spans="1:19" s="406" customFormat="1" ht="17.45" customHeight="1" x14ac:dyDescent="0.2">
      <c r="A11" s="468"/>
      <c r="B11" s="407" t="s">
        <v>252</v>
      </c>
      <c r="C11" s="408" t="s">
        <v>253</v>
      </c>
      <c r="D11" s="409" t="s">
        <v>176</v>
      </c>
      <c r="E11" s="409" t="s">
        <v>176</v>
      </c>
      <c r="F11" s="409" t="s">
        <v>176</v>
      </c>
      <c r="G11" s="409"/>
      <c r="H11" s="409"/>
      <c r="I11" s="409"/>
      <c r="J11" s="409"/>
      <c r="K11" s="409" t="s">
        <v>176</v>
      </c>
      <c r="L11" s="409"/>
      <c r="M11" s="409" t="s">
        <v>176</v>
      </c>
      <c r="N11" s="409"/>
      <c r="O11" s="409" t="s">
        <v>176</v>
      </c>
      <c r="P11" s="409" t="s">
        <v>176</v>
      </c>
      <c r="Q11" s="409" t="s">
        <v>176</v>
      </c>
      <c r="R11" s="409"/>
      <c r="S11" s="410"/>
    </row>
    <row r="12" spans="1:19" s="406" customFormat="1" ht="17.45" customHeight="1" x14ac:dyDescent="0.2">
      <c r="A12" s="468"/>
      <c r="B12" s="407" t="s">
        <v>254</v>
      </c>
      <c r="C12" s="416" t="s">
        <v>255</v>
      </c>
      <c r="D12" s="409" t="s">
        <v>176</v>
      </c>
      <c r="E12" s="409" t="s">
        <v>176</v>
      </c>
      <c r="F12" s="409"/>
      <c r="G12" s="409"/>
      <c r="H12" s="409"/>
      <c r="I12" s="409"/>
      <c r="J12" s="409"/>
      <c r="K12" s="409"/>
      <c r="L12" s="409" t="s">
        <v>176</v>
      </c>
      <c r="M12" s="409" t="s">
        <v>176</v>
      </c>
      <c r="N12" s="409"/>
      <c r="O12" s="409" t="s">
        <v>176</v>
      </c>
      <c r="P12" s="409"/>
      <c r="Q12" s="409"/>
      <c r="R12" s="409" t="s">
        <v>176</v>
      </c>
      <c r="S12" s="410" t="s">
        <v>176</v>
      </c>
    </row>
    <row r="13" spans="1:19" s="406" customFormat="1" ht="17.45" customHeight="1" thickBot="1" x14ac:dyDescent="0.25">
      <c r="A13" s="469"/>
      <c r="B13" s="412" t="s">
        <v>256</v>
      </c>
      <c r="C13" s="413" t="s">
        <v>257</v>
      </c>
      <c r="D13" s="414" t="s">
        <v>176</v>
      </c>
      <c r="E13" s="414" t="s">
        <v>176</v>
      </c>
      <c r="F13" s="414" t="s">
        <v>176</v>
      </c>
      <c r="G13" s="414"/>
      <c r="H13" s="414"/>
      <c r="I13" s="414"/>
      <c r="J13" s="414"/>
      <c r="K13" s="414"/>
      <c r="L13" s="414"/>
      <c r="M13" s="414"/>
      <c r="N13" s="414"/>
      <c r="O13" s="414" t="s">
        <v>176</v>
      </c>
      <c r="P13" s="414" t="s">
        <v>176</v>
      </c>
      <c r="Q13" s="414" t="s">
        <v>176</v>
      </c>
      <c r="R13" s="414"/>
      <c r="S13" s="415"/>
    </row>
    <row r="14" spans="1:19" ht="11.25" x14ac:dyDescent="0.2">
      <c r="L14" s="396"/>
    </row>
    <row r="15" spans="1:19" ht="11.25" x14ac:dyDescent="0.2">
      <c r="L15" s="396"/>
    </row>
    <row r="16" spans="1:19" ht="11.25" x14ac:dyDescent="0.2">
      <c r="L16" s="396"/>
    </row>
    <row r="17" spans="2:12" ht="11.25" x14ac:dyDescent="0.2">
      <c r="L17" s="396"/>
    </row>
    <row r="18" spans="2:12" ht="11.25" x14ac:dyDescent="0.2">
      <c r="C18" s="411"/>
      <c r="L18" s="396"/>
    </row>
    <row r="19" spans="2:12" ht="11.25" x14ac:dyDescent="0.2">
      <c r="C19" s="411"/>
      <c r="L19" s="396"/>
    </row>
    <row r="20" spans="2:12" ht="11.25" x14ac:dyDescent="0.2">
      <c r="C20" s="411"/>
      <c r="L20" s="396"/>
    </row>
    <row r="21" spans="2:12" ht="11.25" x14ac:dyDescent="0.2">
      <c r="C21" s="411"/>
      <c r="L21" s="396"/>
    </row>
    <row r="22" spans="2:12" ht="11.25" x14ac:dyDescent="0.2">
      <c r="C22" s="411"/>
      <c r="L22" s="396"/>
    </row>
    <row r="23" spans="2:12" ht="11.25" x14ac:dyDescent="0.2">
      <c r="C23" s="411"/>
      <c r="L23" s="396"/>
    </row>
    <row r="24" spans="2:12" ht="11.25" x14ac:dyDescent="0.2">
      <c r="C24" s="411"/>
      <c r="L24" s="396"/>
    </row>
    <row r="25" spans="2:12" ht="11.25" x14ac:dyDescent="0.2">
      <c r="C25" s="411"/>
      <c r="L25" s="396"/>
    </row>
    <row r="26" spans="2:12" ht="11.25" x14ac:dyDescent="0.2">
      <c r="C26" s="411"/>
      <c r="L26" s="396"/>
    </row>
    <row r="27" spans="2:12" ht="11.25" x14ac:dyDescent="0.2">
      <c r="B27" s="411"/>
      <c r="C27" s="411"/>
      <c r="L27" s="396"/>
    </row>
    <row r="28" spans="2:12" ht="11.25" x14ac:dyDescent="0.2">
      <c r="B28" s="411"/>
      <c r="C28" s="411"/>
      <c r="L28" s="396"/>
    </row>
    <row r="29" spans="2:12" ht="11.25" x14ac:dyDescent="0.2">
      <c r="B29" s="411"/>
      <c r="C29" s="411"/>
      <c r="L29" s="396"/>
    </row>
    <row r="30" spans="2:12" ht="11.25" x14ac:dyDescent="0.2">
      <c r="B30" s="411"/>
      <c r="C30" s="411"/>
      <c r="L30" s="396"/>
    </row>
    <row r="31" spans="2:12" ht="11.25" x14ac:dyDescent="0.2">
      <c r="B31" s="411"/>
      <c r="C31" s="411"/>
      <c r="L31" s="396"/>
    </row>
    <row r="32" spans="2:12" ht="11.25" x14ac:dyDescent="0.2">
      <c r="B32" s="411"/>
      <c r="C32" s="411"/>
      <c r="L32" s="396"/>
    </row>
    <row r="33" spans="2:12" ht="11.25" x14ac:dyDescent="0.2">
      <c r="B33" s="411"/>
      <c r="C33" s="411"/>
      <c r="L33" s="396"/>
    </row>
    <row r="34" spans="2:12" ht="11.25" x14ac:dyDescent="0.2">
      <c r="B34" s="411"/>
      <c r="C34" s="411"/>
      <c r="L34" s="396"/>
    </row>
    <row r="35" spans="2:12" x14ac:dyDescent="0.2">
      <c r="B35" s="411"/>
      <c r="C35" s="411"/>
    </row>
    <row r="36" spans="2:12" x14ac:dyDescent="0.2">
      <c r="B36" s="411"/>
      <c r="C36" s="411"/>
    </row>
    <row r="37" spans="2:12" x14ac:dyDescent="0.2">
      <c r="B37" s="411"/>
      <c r="C37" s="411"/>
    </row>
    <row r="38" spans="2:12" x14ac:dyDescent="0.2">
      <c r="B38" s="411"/>
      <c r="C38" s="411"/>
    </row>
    <row r="39" spans="2:12" x14ac:dyDescent="0.2">
      <c r="B39" s="411"/>
      <c r="C39" s="411"/>
    </row>
    <row r="40" spans="2:12" x14ac:dyDescent="0.2">
      <c r="B40" s="411"/>
      <c r="C40" s="411"/>
    </row>
    <row r="41" spans="2:12" x14ac:dyDescent="0.2">
      <c r="B41" s="411"/>
      <c r="C41" s="411"/>
    </row>
    <row r="42" spans="2:12" x14ac:dyDescent="0.2">
      <c r="B42" s="411"/>
      <c r="C42" s="411"/>
    </row>
    <row r="43" spans="2:12" x14ac:dyDescent="0.2">
      <c r="B43" s="411"/>
      <c r="C43" s="411"/>
    </row>
    <row r="44" spans="2:12" x14ac:dyDescent="0.2">
      <c r="B44" s="411"/>
      <c r="C44" s="411"/>
    </row>
    <row r="45" spans="2:12" x14ac:dyDescent="0.2">
      <c r="B45" s="411"/>
      <c r="C45" s="411"/>
    </row>
    <row r="46" spans="2:12" x14ac:dyDescent="0.2">
      <c r="B46" s="411"/>
      <c r="C46" s="411"/>
    </row>
    <row r="47" spans="2:12" x14ac:dyDescent="0.2">
      <c r="B47" s="411"/>
      <c r="C47" s="411"/>
    </row>
    <row r="48" spans="2:12" x14ac:dyDescent="0.2">
      <c r="B48" s="411"/>
      <c r="C48" s="411"/>
    </row>
    <row r="49" spans="2:3" x14ac:dyDescent="0.2">
      <c r="B49" s="411"/>
      <c r="C49" s="411"/>
    </row>
    <row r="50" spans="2:3" x14ac:dyDescent="0.2">
      <c r="B50" s="411"/>
      <c r="C50" s="411"/>
    </row>
    <row r="51" spans="2:3" x14ac:dyDescent="0.2">
      <c r="B51" s="411"/>
      <c r="C51" s="411"/>
    </row>
    <row r="52" spans="2:3" x14ac:dyDescent="0.2">
      <c r="B52" s="411"/>
      <c r="C52" s="411"/>
    </row>
    <row r="53" spans="2:3" x14ac:dyDescent="0.2">
      <c r="B53" s="411"/>
      <c r="C53" s="411"/>
    </row>
    <row r="54" spans="2:3" x14ac:dyDescent="0.2">
      <c r="B54" s="411"/>
      <c r="C54" s="411"/>
    </row>
    <row r="55" spans="2:3" x14ac:dyDescent="0.2">
      <c r="B55" s="411"/>
      <c r="C55" s="411"/>
    </row>
    <row r="56" spans="2:3" x14ac:dyDescent="0.2">
      <c r="B56" s="411"/>
      <c r="C56" s="411"/>
    </row>
    <row r="57" spans="2:3" x14ac:dyDescent="0.2">
      <c r="B57" s="411"/>
      <c r="C57" s="411"/>
    </row>
    <row r="58" spans="2:3" x14ac:dyDescent="0.2">
      <c r="B58" s="411"/>
      <c r="C58" s="411"/>
    </row>
    <row r="59" spans="2:3" x14ac:dyDescent="0.2">
      <c r="B59" s="411"/>
      <c r="C59" s="411"/>
    </row>
    <row r="60" spans="2:3" x14ac:dyDescent="0.2">
      <c r="B60" s="411"/>
      <c r="C60" s="411"/>
    </row>
    <row r="61" spans="2:3" x14ac:dyDescent="0.2">
      <c r="B61" s="411"/>
      <c r="C61" s="411"/>
    </row>
    <row r="62" spans="2:3" x14ac:dyDescent="0.2">
      <c r="B62" s="411"/>
      <c r="C62" s="411"/>
    </row>
    <row r="63" spans="2:3" x14ac:dyDescent="0.2">
      <c r="B63" s="411"/>
      <c r="C63" s="411"/>
    </row>
    <row r="64" spans="2:3" x14ac:dyDescent="0.2">
      <c r="B64" s="411"/>
      <c r="C64" s="411"/>
    </row>
    <row r="65" spans="2:3" x14ac:dyDescent="0.2">
      <c r="B65" s="411"/>
      <c r="C65" s="411"/>
    </row>
  </sheetData>
  <mergeCells count="2">
    <mergeCell ref="D1:S1"/>
    <mergeCell ref="A3:A13"/>
  </mergeCells>
  <conditionalFormatting sqref="D3:S12">
    <cfRule type="cellIs" dxfId="3" priority="2" operator="equal">
      <formula>""</formula>
    </cfRule>
  </conditionalFormatting>
  <conditionalFormatting sqref="D13:S13">
    <cfRule type="cellIs" dxfId="2" priority="1" operator="equal">
      <formula>""</formula>
    </cfRule>
  </conditionalFormatting>
  <hyperlinks>
    <hyperlink ref="C1" location="Inventory!A1" display="Inventory" xr:uid="{00000000-0004-0000-0F00-000000000000}"/>
  </hyperlinks>
  <pageMargins left="0.75" right="0.75" top="1" bottom="1" header="0.5" footer="0.5"/>
  <pageSetup scale="7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2"/>
  <sheetViews>
    <sheetView showGridLines="0" workbookViewId="0">
      <selection activeCell="A2" sqref="A2"/>
    </sheetView>
  </sheetViews>
  <sheetFormatPr defaultRowHeight="15" x14ac:dyDescent="0.25"/>
  <cols>
    <col min="1" max="1" width="52" style="332" bestFit="1" customWidth="1"/>
    <col min="2" max="6" width="29.140625" style="332" customWidth="1"/>
    <col min="7" max="9" width="9.140625" style="332"/>
    <col min="10" max="10" width="9.7109375" style="332" bestFit="1" customWidth="1"/>
    <col min="11" max="16384" width="9.140625" style="332"/>
  </cols>
  <sheetData>
    <row r="1" spans="1:10" ht="15.75" x14ac:dyDescent="0.25">
      <c r="A1" s="330" t="s">
        <v>258</v>
      </c>
      <c r="B1" s="330" t="s">
        <v>259</v>
      </c>
      <c r="C1" s="331" t="s">
        <v>260</v>
      </c>
      <c r="D1" s="330" t="s">
        <v>261</v>
      </c>
      <c r="E1" s="330" t="s">
        <v>189</v>
      </c>
      <c r="F1" s="330" t="s">
        <v>198</v>
      </c>
      <c r="H1" s="333" t="s">
        <v>40</v>
      </c>
      <c r="J1" s="334">
        <v>44825</v>
      </c>
    </row>
    <row r="2" spans="1:10" x14ac:dyDescent="0.25">
      <c r="A2" s="335" t="s">
        <v>190</v>
      </c>
      <c r="B2" s="336">
        <f>(LARGE(B3:B12,1)+LARGE(B3:B12,2)+LARGE(B3:B12,3))/3</f>
        <v>0.81249249249249234</v>
      </c>
      <c r="C2" s="336">
        <f>(LARGE(C3:C12,1)+LARGE(C3:C12,2)+LARGE(C3:C12,3))/3</f>
        <v>0.81181315273746602</v>
      </c>
      <c r="D2" s="336">
        <f>(LARGE(D3:D12,1)+LARGE(D3:D12,2)+LARGE(D3:D12,3))/3</f>
        <v>0.81249249249249245</v>
      </c>
      <c r="E2" s="336">
        <f>(LARGE(E3:E12,1)+LARGE(E3:E12,2)+LARGE(E3:E12,3))/3</f>
        <v>0.81398064731398045</v>
      </c>
      <c r="F2" s="336">
        <f>(LARGE(F3:F12,1)+LARGE(F3:F12,2)+LARGE(F3:F12,3))/3</f>
        <v>0.81398064731398057</v>
      </c>
      <c r="H2" s="333"/>
      <c r="J2" s="334"/>
    </row>
    <row r="3" spans="1:10" x14ac:dyDescent="0.25">
      <c r="A3" s="335" t="s">
        <v>262</v>
      </c>
      <c r="B3" s="336">
        <v>0.69506306306306276</v>
      </c>
      <c r="C3" s="336">
        <v>0.71771972910619897</v>
      </c>
      <c r="D3" s="336">
        <v>0.69506306306306287</v>
      </c>
      <c r="E3" s="336">
        <v>0.6974831974831972</v>
      </c>
      <c r="F3" s="336">
        <v>0.69748319748319743</v>
      </c>
    </row>
    <row r="4" spans="1:10" x14ac:dyDescent="0.25">
      <c r="A4" s="335" t="s">
        <v>263</v>
      </c>
      <c r="B4" s="336">
        <v>0.16086486486486487</v>
      </c>
      <c r="C4" s="336">
        <v>0.16610850636302746</v>
      </c>
      <c r="D4" s="336">
        <v>0.16086486486486484</v>
      </c>
      <c r="E4" s="336">
        <v>0.15186615186615185</v>
      </c>
      <c r="F4" s="336">
        <v>0.15186615186615188</v>
      </c>
    </row>
    <row r="5" spans="1:10" x14ac:dyDescent="0.25">
      <c r="A5" s="335" t="s">
        <v>264</v>
      </c>
      <c r="B5" s="336">
        <v>0.40079279279279273</v>
      </c>
      <c r="C5" s="336">
        <v>0.41385725980501592</v>
      </c>
      <c r="D5" s="336">
        <v>0.40079279279279273</v>
      </c>
      <c r="E5" s="336">
        <v>0.39761189761189752</v>
      </c>
      <c r="F5" s="336">
        <v>0.39761189761189758</v>
      </c>
    </row>
    <row r="6" spans="1:10" x14ac:dyDescent="0.25">
      <c r="A6" s="335" t="s">
        <v>265</v>
      </c>
      <c r="B6" s="336">
        <v>0.68338738738738714</v>
      </c>
      <c r="C6" s="336">
        <v>0.70566346654759227</v>
      </c>
      <c r="D6" s="336">
        <v>0.68338738738738725</v>
      </c>
      <c r="E6" s="336">
        <v>0.68590018590018564</v>
      </c>
      <c r="F6" s="336">
        <v>0.68590018590018587</v>
      </c>
    </row>
    <row r="7" spans="1:10" x14ac:dyDescent="0.25">
      <c r="A7" s="335" t="s">
        <v>266</v>
      </c>
      <c r="B7" s="336">
        <v>0.69506306306306276</v>
      </c>
      <c r="C7" s="336">
        <v>0.71771972910619897</v>
      </c>
      <c r="D7" s="336">
        <v>0.69506306306306287</v>
      </c>
      <c r="E7" s="336">
        <v>0.6974831974831972</v>
      </c>
      <c r="F7" s="336">
        <v>0.69748319748319743</v>
      </c>
    </row>
    <row r="8" spans="1:10" x14ac:dyDescent="0.25">
      <c r="A8" s="335" t="s">
        <v>267</v>
      </c>
      <c r="B8" s="336">
        <v>0.69506306306306276</v>
      </c>
      <c r="C8" s="336">
        <v>0.71771972910619897</v>
      </c>
      <c r="D8" s="336">
        <v>0.69506306306306287</v>
      </c>
      <c r="E8" s="336">
        <v>0.6974831974831972</v>
      </c>
      <c r="F8" s="336">
        <v>0.69748319748319743</v>
      </c>
    </row>
    <row r="9" spans="1:10" x14ac:dyDescent="0.25">
      <c r="A9" s="335" t="s">
        <v>268</v>
      </c>
      <c r="B9" s="336">
        <v>0.35228828828828823</v>
      </c>
      <c r="C9" s="336">
        <v>0.33117511349259504</v>
      </c>
      <c r="D9" s="336">
        <v>0.35228828828828823</v>
      </c>
      <c r="E9" s="336">
        <v>0.34949234949234942</v>
      </c>
      <c r="F9" s="336">
        <v>0.34949234949234947</v>
      </c>
    </row>
    <row r="10" spans="1:10" x14ac:dyDescent="0.25">
      <c r="A10" s="335" t="s">
        <v>269</v>
      </c>
      <c r="B10" s="336">
        <v>0.74241441441441425</v>
      </c>
      <c r="C10" s="336">
        <v>0.71771972910619897</v>
      </c>
      <c r="D10" s="336">
        <v>0.74241441441441436</v>
      </c>
      <c r="E10" s="336">
        <v>0.74445874445874416</v>
      </c>
      <c r="F10" s="336">
        <v>0.74445874445874438</v>
      </c>
    </row>
    <row r="11" spans="1:10" x14ac:dyDescent="0.25">
      <c r="A11" s="335" t="s">
        <v>270</v>
      </c>
      <c r="B11" s="336">
        <v>0.32861261261261254</v>
      </c>
      <c r="C11" s="336">
        <v>0.33117511349259504</v>
      </c>
      <c r="D11" s="336">
        <v>0.3286126126126126</v>
      </c>
      <c r="E11" s="336">
        <v>0.32600457600457594</v>
      </c>
      <c r="F11" s="336">
        <v>0.326004576004576</v>
      </c>
    </row>
    <row r="12" spans="1:10" x14ac:dyDescent="0.25">
      <c r="A12" s="335" t="s">
        <v>271</v>
      </c>
      <c r="B12" s="336">
        <v>1</v>
      </c>
      <c r="C12" s="336">
        <v>1</v>
      </c>
      <c r="D12" s="336">
        <v>1</v>
      </c>
      <c r="E12" s="336">
        <v>1</v>
      </c>
      <c r="F12" s="336">
        <v>1</v>
      </c>
    </row>
    <row r="14" spans="1:10" x14ac:dyDescent="0.25">
      <c r="A14" s="337" t="s">
        <v>272</v>
      </c>
    </row>
    <row r="17" spans="1:1" ht="15.75" x14ac:dyDescent="0.25">
      <c r="A17" s="330" t="s">
        <v>273</v>
      </c>
    </row>
    <row r="18" spans="1:1" x14ac:dyDescent="0.25">
      <c r="A18" s="338" t="s">
        <v>259</v>
      </c>
    </row>
    <row r="19" spans="1:1" x14ac:dyDescent="0.25">
      <c r="A19" s="338" t="s">
        <v>260</v>
      </c>
    </row>
    <row r="20" spans="1:1" x14ac:dyDescent="0.25">
      <c r="A20" s="338" t="s">
        <v>261</v>
      </c>
    </row>
    <row r="21" spans="1:1" x14ac:dyDescent="0.25">
      <c r="A21" s="338" t="s">
        <v>189</v>
      </c>
    </row>
    <row r="22" spans="1:1" x14ac:dyDescent="0.25">
      <c r="A22" s="338" t="s">
        <v>198</v>
      </c>
    </row>
  </sheetData>
  <conditionalFormatting sqref="B3:B12">
    <cfRule type="cellIs" dxfId="1" priority="2" operator="between">
      <formula>0.9</formula>
      <formula>0.99</formula>
    </cfRule>
  </conditionalFormatting>
  <conditionalFormatting sqref="B2:F2">
    <cfRule type="cellIs" dxfId="0" priority="1" operator="between">
      <formula>0.9</formula>
      <formula>0.99</formula>
    </cfRule>
  </conditionalFormatting>
  <hyperlinks>
    <hyperlink ref="H1" location="Inventory!A1" display="Inventory" xr:uid="{00000000-0004-0000-10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A5B97F-B20E-49EF-9FE8-07F1F8A2887E}">
  <ds:schemaRefs>
    <ds:schemaRef ds:uri="http://schemas.microsoft.com/sharepoint/v3/contenttype/forms"/>
  </ds:schemaRefs>
</ds:datastoreItem>
</file>

<file path=customXml/itemProps2.xml><?xml version="1.0" encoding="utf-8"?>
<ds:datastoreItem xmlns:ds="http://schemas.openxmlformats.org/officeDocument/2006/customXml" ds:itemID="{F1629DD6-C3B1-4C5E-97CA-9A095348270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33575d1-c635-47cb-9f2e-8b33b5cd6ba3"/>
    <ds:schemaRef ds:uri="http://www.w3.org/XML/1998/namespace"/>
  </ds:schemaRefs>
</ds:datastoreItem>
</file>

<file path=customXml/itemProps3.xml><?xml version="1.0" encoding="utf-8"?>
<ds:datastoreItem xmlns:ds="http://schemas.openxmlformats.org/officeDocument/2006/customXml" ds:itemID="{5A8358E9-7F5A-48FF-B776-FBE1D9E02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Inventory</vt:lpstr>
      <vt:lpstr>Log</vt:lpstr>
      <vt:lpstr>VFA (10F) (6 ARS)</vt:lpstr>
      <vt:lpstr>VFA (10F) (4 ARS)</vt:lpstr>
      <vt:lpstr>VFA (10F) (No ARS)</vt:lpstr>
      <vt:lpstr>VFA (11F) (6 ARS)</vt:lpstr>
      <vt:lpstr>VFA (11F) (5 ARS)</vt:lpstr>
      <vt:lpstr>VFA (11F) (4 ARS)</vt:lpstr>
      <vt:lpstr>VFA (12F) (6 ARS)</vt:lpstr>
      <vt:lpstr>VFA (12F) (No ARS) FDNF</vt:lpstr>
      <vt:lpstr>VFA (12F) (4 ARS) FDNF</vt:lpstr>
      <vt:lpstr>VFA (12F) (6 ARS) FDNF</vt:lpstr>
      <vt:lpstr>VFA (FA-18E-F VFA-106 FRS)</vt:lpstr>
      <vt:lpstr>VFA (FA-18E-F VFA-122 FRS)</vt:lpstr>
      <vt:lpstr>VFA FA-18EF PDAA_POAA</vt:lpstr>
      <vt:lpstr>VFA FA-18F Reduced Matrix</vt:lpstr>
      <vt:lpstr>FA-18EF Mission System Summary</vt:lpstr>
    </vt:vector>
  </TitlesOfParts>
  <Manager>AIRLANT Current Readiness</Manager>
  <Company>CACI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dc:title>
  <dc:subject/>
  <dc:creator>Mike Fleetwood</dc:creator>
  <cp:keywords/>
  <dc:description/>
  <cp:lastModifiedBy>Mark Bodoh</cp:lastModifiedBy>
  <cp:revision/>
  <dcterms:created xsi:type="dcterms:W3CDTF">2006-04-03T16:46:29Z</dcterms:created>
  <dcterms:modified xsi:type="dcterms:W3CDTF">2023-04-05T23:28:39Z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MSIP_Label_afe64f26-154f-4743-927e-a7310aa86873_Enabled">
    <vt:lpwstr>true</vt:lpwstr>
  </property>
  <property fmtid="{D5CDD505-2E9C-101B-9397-08002B2CF9AE}" pid="4" name="MSIP_Label_afe64f26-154f-4743-927e-a7310aa86873_SetDate">
    <vt:lpwstr>2023-04-05T23:24:42Z</vt:lpwstr>
  </property>
  <property fmtid="{D5CDD505-2E9C-101B-9397-08002B2CF9AE}" pid="5" name="MSIP_Label_afe64f26-154f-4743-927e-a7310aa86873_Method">
    <vt:lpwstr>Privileged</vt:lpwstr>
  </property>
  <property fmtid="{D5CDD505-2E9C-101B-9397-08002B2CF9AE}" pid="6" name="MSIP_Label_afe64f26-154f-4743-927e-a7310aa86873_Name">
    <vt:lpwstr>GovernmentData</vt:lpwstr>
  </property>
  <property fmtid="{D5CDD505-2E9C-101B-9397-08002B2CF9AE}" pid="7" name="MSIP_Label_afe64f26-154f-4743-927e-a7310aa86873_SiteId">
    <vt:lpwstr>29ac9fa0-83e8-40a8-914f-a74b1c9c46d0</vt:lpwstr>
  </property>
  <property fmtid="{D5CDD505-2E9C-101B-9397-08002B2CF9AE}" pid="8" name="MSIP_Label_afe64f26-154f-4743-927e-a7310aa86873_ActionId">
    <vt:lpwstr>e2735fe6-b3de-44ba-983f-ba6c214ba28f</vt:lpwstr>
  </property>
  <property fmtid="{D5CDD505-2E9C-101B-9397-08002B2CF9AE}" pid="9" name="MSIP_Label_afe64f26-154f-4743-927e-a7310aa86873_ContentBits">
    <vt:lpwstr>0</vt:lpwstr>
  </property>
</Properties>
</file>